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95" tabRatio="418" activeTab="0"/>
  </bookViews>
  <sheets>
    <sheet name="KH nợ vay 5 năm" sheetId="1" r:id="rId1"/>
    <sheet name="PL kèm theo trình" sheetId="2" r:id="rId2"/>
    <sheet name="PL thuyết minh (ko trình)" sheetId="3" r:id="rId3"/>
    <sheet name="lich tra no" sheetId="4" r:id="rId4"/>
  </sheets>
  <definedNames>
    <definedName name="_xlnm.Print_Area" localSheetId="0">'KH nợ vay 5 năm'!$A$1:$U$31</definedName>
    <definedName name="_xlnm.Print_Area" localSheetId="1">'PL kèm theo trình'!$A$1:$AZ$18</definedName>
    <definedName name="_xlnm.Print_Area" localSheetId="2">'PL thuyết minh (ko trình)'!$A$1:$K$52</definedName>
    <definedName name="_xlnm.Print_Titles" localSheetId="2">'PL thuyết minh (ko trình)'!$4:$6</definedName>
  </definedNames>
  <calcPr fullCalcOnLoad="1"/>
</workbook>
</file>

<file path=xl/sharedStrings.xml><?xml version="1.0" encoding="utf-8"?>
<sst xmlns="http://schemas.openxmlformats.org/spreadsheetml/2006/main" count="313" uniqueCount="193">
  <si>
    <t>Biểu số 02-NĐ31</t>
  </si>
  <si>
    <t>Phụ lục 01</t>
  </si>
  <si>
    <t>Đvt: triệu đồng</t>
  </si>
  <si>
    <t>STT</t>
  </si>
  <si>
    <t>Chỉ tiêu</t>
  </si>
  <si>
    <t>BTC giao hằng năm</t>
  </si>
  <si>
    <t>HĐND tỉnh phân bổ chi tiết 
(bao gồm các khoản tăng thu)</t>
  </si>
  <si>
    <t>Kế hoạch giai đoạn 2021-2025</t>
  </si>
  <si>
    <t>Năm 2016</t>
  </si>
  <si>
    <t>Năm 2017</t>
  </si>
  <si>
    <t>Năm 2018</t>
  </si>
  <si>
    <t>Năm 2019</t>
  </si>
  <si>
    <t>Năm 2020</t>
  </si>
  <si>
    <t>Tổng giai đoạn</t>
  </si>
  <si>
    <t>Ước TH năm 2020</t>
  </si>
  <si>
    <t>A</t>
  </si>
  <si>
    <t>B</t>
  </si>
  <si>
    <t>I</t>
  </si>
  <si>
    <t>Bội chi Ngân sách địa phương / Bội thu NSĐP</t>
  </si>
  <si>
    <t>Bội thu</t>
  </si>
  <si>
    <t>Bội chi</t>
  </si>
  <si>
    <t>II</t>
  </si>
  <si>
    <t>Tổng mức vay, trả nợ NSĐP</t>
  </si>
  <si>
    <t>Hạn mức dự nợ vay tối đa của NSĐP</t>
  </si>
  <si>
    <t>Mức dư nợ đầu kỳ (năm)</t>
  </si>
  <si>
    <t>Tỷ lệ mức dư nợ đầu kỳ (năm) so với mức dư nợ tối đa của NSĐP (%)</t>
  </si>
  <si>
    <t>Tỷ lệ mức dư nợ đầu kỳ (năm) so với GRDP (%)</t>
  </si>
  <si>
    <t>Trả nợ gốc vay trong kỳ (năm)</t>
  </si>
  <si>
    <t xml:space="preserve"> -</t>
  </si>
  <si>
    <t>Từ nguồn vay trả nợ gốc</t>
  </si>
  <si>
    <t>Từ nguồn bội thu NSĐP; tăng thu, tiết kiệm chi; kết dư ngân sách tỉnh; Ngân sách địa phương</t>
  </si>
  <si>
    <t xml:space="preserve"> + Vay lại từ nguồn Chính phủ vay ngoài nước</t>
  </si>
  <si>
    <t xml:space="preserve"> + Vay trong nước (Vay Ngân hàng phát triển Việt Nam) (1)</t>
  </si>
  <si>
    <t>Tổng mức vay trong kỳ (năm)</t>
  </si>
  <si>
    <t>Vay để bù đắp bội chi</t>
  </si>
  <si>
    <t>Vay để trả nợ gốc</t>
  </si>
  <si>
    <t>Mức dư nợ cuối kỳ (năm)</t>
  </si>
  <si>
    <r>
      <t xml:space="preserve">* Ghi chú: </t>
    </r>
    <r>
      <rPr>
        <i/>
        <sz val="12"/>
        <rFont val="Times New Roman"/>
        <family val="1"/>
      </rPr>
      <t>chi tiết tổng mức vay trong kỳ của từng dự án xem phụ lục 02 đính kèm</t>
    </r>
  </si>
  <si>
    <t>Phụ lục 02</t>
  </si>
  <si>
    <t xml:space="preserve"> KẾ HOẠCH VAY LẠI VỐN VAY ODA, VAY ƯU ĐÃI NƯỚC NGOÀI CỦA CHÍNH PHỦ 05 NĂM GIAI ĐOẠN 2021 - 2025</t>
  </si>
  <si>
    <t>Đvt: Triệu đồng</t>
  </si>
  <si>
    <t>Stt</t>
  </si>
  <si>
    <t>Tên dự án/ Chương trình/ Hiệp định vay</t>
  </si>
  <si>
    <t>Chủ đầu tư</t>
  </si>
  <si>
    <t>Quyết định</t>
  </si>
  <si>
    <t>Tổng mức đầu tư</t>
  </si>
  <si>
    <t>Ngày ký hiệp định vay</t>
  </si>
  <si>
    <t>Tên nhà tài trợ</t>
  </si>
  <si>
    <t>Giá trị
hiệp định vay</t>
  </si>
  <si>
    <t>Cơ chế tài chính</t>
  </si>
  <si>
    <t>Tổng vốn dự kiến vay lại vốn vay nước ngoài của Chính phủ 2017-2025</t>
  </si>
  <si>
    <t>Kế hoạch vay lại năm 2020</t>
  </si>
  <si>
    <t>Tỷ lệ vay lại</t>
  </si>
  <si>
    <t>Lũy kế ước thực hiện từ khởi công đến hết năm 2020</t>
  </si>
  <si>
    <t>Giai đoạn 2021-2025</t>
  </si>
  <si>
    <t>Giai đoạn 2021 - 2025</t>
  </si>
  <si>
    <t>Năm 2021</t>
  </si>
  <si>
    <t>Năm 2022</t>
  </si>
  <si>
    <t>Năm 2023</t>
  </si>
  <si>
    <t>Năm 2024</t>
  </si>
  <si>
    <t>Năm 2025</t>
  </si>
  <si>
    <t>Tổng số</t>
  </si>
  <si>
    <t>Trong đó</t>
  </si>
  <si>
    <t>Số tiền</t>
  </si>
  <si>
    <t>Loại tiền</t>
  </si>
  <si>
    <t xml:space="preserve">NSTW cấp phát </t>
  </si>
  <si>
    <t>Địa phương vay lại</t>
  </si>
  <si>
    <t>Lãi và phí địa phương phải trả cho khoản vay lại</t>
  </si>
  <si>
    <t>Kế hoạch vay lại năm 2017</t>
  </si>
  <si>
    <t>Thực hiện 2017</t>
  </si>
  <si>
    <t>Kế hoạch vay lại năm 2018</t>
  </si>
  <si>
    <t>Thực hiện 2018</t>
  </si>
  <si>
    <t>Lãi và phí phải trả</t>
  </si>
  <si>
    <t>Kế hoạch vay lại năm 2019</t>
  </si>
  <si>
    <t>Thực hiện năm 2019</t>
  </si>
  <si>
    <t>Lãi theo kế hoạch vay</t>
  </si>
  <si>
    <t xml:space="preserve">Kế hoạch vay lại </t>
  </si>
  <si>
    <t>Kế hoạch trả nợ</t>
  </si>
  <si>
    <t>Kế hoạch vay lại năm 2021</t>
  </si>
  <si>
    <t>Trả nợ</t>
  </si>
  <si>
    <t>Kế hoạch vay lại năm 2022</t>
  </si>
  <si>
    <t xml:space="preserve">Kế hoạch vay lại năm 2023 </t>
  </si>
  <si>
    <t>Kế hoạch vay lại năm 2024</t>
  </si>
  <si>
    <t>Kế hoạch vay lại năm 2025</t>
  </si>
  <si>
    <t>Vốn đối ứng</t>
  </si>
  <si>
    <t>Vay ưu đãi vốn ODA</t>
  </si>
  <si>
    <t>Tổng</t>
  </si>
  <si>
    <t>Nợ gốc</t>
  </si>
  <si>
    <t>TỔNG CỘNG</t>
  </si>
  <si>
    <t>Cung cấp trang thiết bị y tế Bệnh viện đa khoa khu vực Châu Đốc</t>
  </si>
  <si>
    <t>BVĐK Khu vực tỉnh</t>
  </si>
  <si>
    <t>11/03/2016</t>
  </si>
  <si>
    <t>Ku
Wait</t>
  </si>
  <si>
    <t>Triệu USD</t>
  </si>
  <si>
    <t>Dự án "Tăng cường quản lý đất đai và cơ sở dữ liệu đất đai tỉnh An Giang" (VILG)</t>
  </si>
  <si>
    <t>Sở Tài nguyên và Môi trường</t>
  </si>
  <si>
    <t>3215/QĐ-UBND ngày 27/10/2017; 1854/QĐ-UBND ngày 31/7/2019</t>
  </si>
  <si>
    <t>WB</t>
  </si>
  <si>
    <t xml:space="preserve">Tiểu dự án: Tăng cường khả năng thích ứng và quản lý nước cho vùng thượng nguồn sông Cửu Long, huyện An Phú, thuộc dự án: Chống chịu khí hậu tổng hợp và sinh kế bền vững đồng bằng sông Cửu Long </t>
  </si>
  <si>
    <t>Sở Nông nghiệp và Phát triển nông thôn</t>
  </si>
  <si>
    <t>2841/QĐ-UBND ngày 26/9/2017; 2595/QĐ-UBND ngày 22/10/2018</t>
  </si>
  <si>
    <t>Mở rộng nâng cấp đô thị Việt Nam - Tiểu dự án thành phố Long Xuyên, tỉnh An Giang</t>
  </si>
  <si>
    <t>UBND TP. Long Xuyên</t>
  </si>
  <si>
    <t>2251/QĐ-UBND 14/9/2018</t>
  </si>
  <si>
    <t xml:space="preserve"> + Vay IDA</t>
  </si>
  <si>
    <t xml:space="preserve"> + Vay IDA SUF</t>
  </si>
  <si>
    <t>Dự án đầu tư trang thiết bị cho Bệnh viện Sản Nhi AG</t>
  </si>
  <si>
    <t>Bệnh viện Sản nhi</t>
  </si>
  <si>
    <t>Chính phủ Áo</t>
  </si>
  <si>
    <t>Triệu EUR</t>
  </si>
  <si>
    <t>Phụ lục thuyết minh (không trình)</t>
  </si>
  <si>
    <t>BỘI CHI VÀ PHƯƠNG ÁN VAY - TRẢ NỢ NGÂN SÁCH ĐỊA PHƯƠNG 05 NĂM GIAI ĐOẠN 2021 - 2025</t>
  </si>
  <si>
    <t>ĐVT: triệu đồng</t>
  </si>
  <si>
    <t>Nội dung</t>
  </si>
  <si>
    <t>Kế hoạch năm 2021</t>
  </si>
  <si>
    <t>Kế hoạch năm 2022</t>
  </si>
  <si>
    <t>Kế hoạch năm 2023</t>
  </si>
  <si>
    <t>Kế hoạch năm 2024</t>
  </si>
  <si>
    <t>Kế hoạch năm 2025</t>
  </si>
  <si>
    <t xml:space="preserve">Dự toán </t>
  </si>
  <si>
    <t>Kế hoạch</t>
  </si>
  <si>
    <t>Ước thực hiện</t>
  </si>
  <si>
    <t>3=4+,,,8</t>
  </si>
  <si>
    <t xml:space="preserve"> THU NGÂN SÁCH ĐỊA PHƯƠNG </t>
  </si>
  <si>
    <t>Chưa xác định cụ thể</t>
  </si>
  <si>
    <t xml:space="preserve"> CHI CÂN ĐỐI NGÂN SÁCH ĐỊA PHƯƠNG</t>
  </si>
  <si>
    <t>C</t>
  </si>
  <si>
    <t>BỘI CHI NGÂN SÁCH ĐỊA PHƯƠNG / BỘI THU NSĐP</t>
  </si>
  <si>
    <t>D</t>
  </si>
  <si>
    <t xml:space="preserve"> HẠN MỨC DƯ NỢ VAY TỐI ĐA CỦA NSĐP THEO QUY ĐỊNH</t>
  </si>
  <si>
    <t>E</t>
  </si>
  <si>
    <t>KẾ HOẠCH VAY, TRẢ NỢ GỐC</t>
  </si>
  <si>
    <t>Tổng dư nợ đầu năm</t>
  </si>
  <si>
    <t>Tỷ lệ mức dư nợ đầu kỳ so với mức dư nợ vay tối đa của ngân sách địa phương (%)</t>
  </si>
  <si>
    <t>Phát hành Trái phiếu chính quyền địa phương</t>
  </si>
  <si>
    <t>Vay lại từ nguồn Chính phủ vay ngoài nước</t>
  </si>
  <si>
    <t>Vay trong nước (Vay Ngân hàng phát triển Việt Nam (1)</t>
  </si>
  <si>
    <t xml:space="preserve"> - </t>
  </si>
  <si>
    <t>Vay thực hiện chương trình kiên cố hóa kênh mương và đường giao thông nông thôn</t>
  </si>
  <si>
    <t>Vay đầu tư cụm tuyến DCVL đồng bằng sông Cửu Long</t>
  </si>
  <si>
    <t xml:space="preserve">Trả nợ gốc vay trong năm </t>
  </si>
  <si>
    <t>Theo nguồn vốn vay</t>
  </si>
  <si>
    <t>-</t>
  </si>
  <si>
    <t>Trái phiếu chính quyền địa phương</t>
  </si>
  <si>
    <t>Vay trong nước (Vay Ngân hàng phát triển Việt Nam) (1)</t>
  </si>
  <si>
    <t xml:space="preserve"> +</t>
  </si>
  <si>
    <t>+</t>
  </si>
  <si>
    <t xml:space="preserve"> </t>
  </si>
  <si>
    <t xml:space="preserve">Từ nguồn vay để trả nợ gốc </t>
  </si>
  <si>
    <t>Bội thu ngân sách địa phương</t>
  </si>
  <si>
    <t>Tăng thu tiết kiệm chi</t>
  </si>
  <si>
    <t>Kết dư ngân sách cấp tỉnh</t>
  </si>
  <si>
    <t>Ngân sách địa phương</t>
  </si>
  <si>
    <t>III</t>
  </si>
  <si>
    <t xml:space="preserve"> TỔNG MỨC VAY TRONG NĂM</t>
  </si>
  <si>
    <t xml:space="preserve"> Theo mục đích vay</t>
  </si>
  <si>
    <t xml:space="preserve">Vay để trả nợ gốc </t>
  </si>
  <si>
    <t xml:space="preserve"> Theo nguồn vay</t>
  </si>
  <si>
    <t>IV</t>
  </si>
  <si>
    <t>Tổng dư nợ cuối năm</t>
  </si>
  <si>
    <t>Tỷ lệ mức dư nợ cuối kỳ so với mức dư nợ vay tối đa của ngân sách địa phương (%)</t>
  </si>
  <si>
    <t>TRẢ NỢ LÃI, PHÍ</t>
  </si>
  <si>
    <r>
      <t xml:space="preserve">   </t>
    </r>
    <r>
      <rPr>
        <b/>
        <i/>
        <sz val="14"/>
        <color indexed="9"/>
        <rFont val="Times New Roman"/>
        <family val="1"/>
      </rPr>
      <t>Ghi chú:</t>
    </r>
    <r>
      <rPr>
        <i/>
        <sz val="14"/>
        <color indexed="9"/>
        <rFont val="Times New Roman"/>
        <family val="1"/>
      </rPr>
      <t xml:space="preserve"> (1) Bao gồm khoản vay thực hiện Chương trình kiên cố hoá kênh mương, giao thông thông nông, CSHT nuôi trồng thuỷ sản, cơ sở hạ tầng làng nghề ở nông thôn; khoản vay đầu tư tôn nền vượt lũ để xây dựng cụm tuyến dân cư vùng ngập lũ sâu ĐBSCL</t>
    </r>
  </si>
  <si>
    <t>Phân kỳ trả nợ</t>
  </si>
  <si>
    <t>Năm</t>
  </si>
  <si>
    <t>Bệnh viện Châu Đốc (KWD)</t>
  </si>
  <si>
    <t>dữ liệu đất đai (USD)</t>
  </si>
  <si>
    <t>WB9 (USD)</t>
  </si>
  <si>
    <t>nâng cấp đô thị IDA (USD)</t>
  </si>
  <si>
    <t>nâng cấp đô thị IDA SUF (USD)</t>
  </si>
  <si>
    <t>dư nợ đầu kỳ</t>
  </si>
  <si>
    <t>Trả gốc</t>
  </si>
  <si>
    <t>VND</t>
  </si>
  <si>
    <t>lãi</t>
  </si>
  <si>
    <t>dư nợ cuối kỳ</t>
  </si>
  <si>
    <t>vốn chưa rút</t>
  </si>
  <si>
    <t>phí cam kết/ vốn chưa rút</t>
  </si>
  <si>
    <t>Phí cam kết</t>
  </si>
  <si>
    <t>2016-2020</t>
  </si>
  <si>
    <t>2016-2021</t>
  </si>
  <si>
    <t>2018-2023</t>
  </si>
  <si>
    <t>2018-2026</t>
  </si>
  <si>
    <t>năm 2021: tạm áp dụng tỷ gia 1KWD = 75000 VND</t>
  </si>
  <si>
    <t>năm 2022: tạm áp dụng tỷ giá 1 USD = 24000 VND</t>
  </si>
  <si>
    <t>1858/QĐ-UBND ngày 07/7/2016; 3139/QĐ-UBND ngày 12/12/2018; 3237/QĐ-UBND ngày 31/12/2019</t>
  </si>
  <si>
    <t>145/QĐ-TTg ngày 21/01/2020</t>
  </si>
  <si>
    <t xml:space="preserve">Số liệu theo kế hoạch tài chính 05 năm, riêng năm 2020 điều chỉnh số ước TH </t>
  </si>
  <si>
    <t>(Kèm theo Nghị quyết số: ……….. /NQ-HĐND ngày ……./12/2020 của Hội đồng nhân dân tỉnh An Giang)</t>
  </si>
  <si>
    <t>KẾ HOẠCH VAY, TRẢ NỢ 05 NĂM GIAI ĐOẠN 2021-2025 CỦA NGÂN SÁCH TỈNH AN GIANG</t>
  </si>
  <si>
    <t>Thu Ngân sách địa phương được hưởng theo phân cấp</t>
  </si>
  <si>
    <t>Thực hiện giai đoạn 2016-2020</t>
  </si>
  <si>
    <t>Kế hoạch giai đoạn 2016-2020</t>
  </si>
  <si>
    <t>(Kèm theo Tờ trình số 735/TTr-UBND ngày  24   tháng 11 năm 2020 của Ủy ban nhân dân tỉnh An Giang)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</si>
</sst>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₫&quot;_-;\-* #,##0.00\ &quot;₫&quot;_-;_-* &quot;-&quot;??\ &quot;₫&quot;_-;_-@_-"/>
    <numFmt numFmtId="169" formatCode="_-* #,##0.00\ _₫_-;\-* #,##0.00\ _₫_-;_-* &quot;-&quot;??\ _₫_-;_-@_-"/>
    <numFmt numFmtId="170" formatCode="_-* #,##0\ &quot;₫&quot;_-;\-* #,##0\ &quot;₫&quot;_-;_-* &quot;-&quot;\ &quot;₫&quot;_-;_-@_-"/>
    <numFmt numFmtId="171" formatCode="_-* #,##0\ _₫_-;\-* #,##0\ _₫_-;_-* &quot;-&quot;\ _₫_-;_-@_-"/>
    <numFmt numFmtId="172" formatCode="_-* #,##0\ &quot;F&quot;_-;\-* #,##0\ &quot;F&quot;_-;_-* &quot;-&quot;\ &quot;F&quot;_-;_-@_-"/>
    <numFmt numFmtId="173" formatCode="_(* #.##0.00_);_(* \(#.##0.00\);_(* &quot;-&quot;??_);_(@_)"/>
    <numFmt numFmtId="174" formatCode="_-* #,##0\ _₫_-;\-* #,##0\ _₫_-;_-* &quot;-&quot;??\ _₫_-;_-@_-"/>
    <numFmt numFmtId="175" formatCode="_(* #,##0_);_(* \(#,##0\);_(* &quot;-&quot;??_);_(@_)"/>
    <numFmt numFmtId="176" formatCode="0.0%"/>
    <numFmt numFmtId="177" formatCode="#,##0;[Red]#,##0"/>
  </numFmts>
  <fonts count="90">
    <font>
      <sz val="12"/>
      <color theme="1"/>
      <name val="Times New Roman"/>
      <family val="1"/>
    </font>
    <font>
      <sz val="12"/>
      <color indexed="8"/>
      <name val="Times New Roman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.VnArial Narrow"/>
      <family val="2"/>
    </font>
    <font>
      <sz val="10"/>
      <name val="VNI-Times"/>
      <family val="2"/>
    </font>
    <font>
      <b/>
      <i/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b/>
      <sz val="20"/>
      <name val="Times New Roman"/>
      <family val="1"/>
    </font>
    <font>
      <i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u val="single"/>
      <sz val="12"/>
      <color indexed="20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3"/>
      <color indexed="10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20"/>
      <color indexed="10"/>
      <name val="Times New Roman"/>
      <family val="1"/>
    </font>
    <font>
      <i/>
      <sz val="20"/>
      <color indexed="10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u val="single"/>
      <sz val="12"/>
      <color theme="11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3"/>
      <color rgb="FFFF0000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20"/>
      <color rgb="FFFF0000"/>
      <name val="Times New Roman"/>
      <family val="1"/>
    </font>
    <font>
      <i/>
      <sz val="20"/>
      <color rgb="FFFF0000"/>
      <name val="Times New Roman"/>
      <family val="1"/>
    </font>
    <font>
      <i/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6" fillId="0" borderId="0">
      <alignment/>
      <protection/>
    </xf>
    <xf numFmtId="0" fontId="71" fillId="0" borderId="0">
      <alignment/>
      <protection/>
    </xf>
    <xf numFmtId="0" fontId="5" fillId="0" borderId="0">
      <alignment vertical="top"/>
      <protection/>
    </xf>
    <xf numFmtId="0" fontId="71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4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77" fillId="33" borderId="0" xfId="0" applyFont="1" applyFill="1" applyAlignment="1">
      <alignment/>
    </xf>
    <xf numFmtId="0" fontId="0" fillId="0" borderId="10" xfId="0" applyBorder="1" applyAlignment="1">
      <alignment/>
    </xf>
    <xf numFmtId="0" fontId="78" fillId="0" borderId="10" xfId="0" applyFont="1" applyBorder="1" applyAlignment="1">
      <alignment/>
    </xf>
    <xf numFmtId="174" fontId="0" fillId="0" borderId="10" xfId="42" applyNumberFormat="1" applyFont="1" applyBorder="1" applyAlignment="1">
      <alignment/>
    </xf>
    <xf numFmtId="9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9" fontId="0" fillId="0" borderId="10" xfId="81" applyFont="1" applyBorder="1" applyAlignment="1">
      <alignment/>
    </xf>
    <xf numFmtId="175" fontId="0" fillId="0" borderId="0" xfId="0" applyNumberFormat="1" applyBorder="1" applyAlignment="1">
      <alignment/>
    </xf>
    <xf numFmtId="0" fontId="78" fillId="0" borderId="10" xfId="0" applyFont="1" applyBorder="1" applyAlignment="1">
      <alignment wrapText="1"/>
    </xf>
    <xf numFmtId="176" fontId="78" fillId="0" borderId="10" xfId="81" applyNumberFormat="1" applyFont="1" applyBorder="1" applyAlignment="1">
      <alignment/>
    </xf>
    <xf numFmtId="10" fontId="0" fillId="0" borderId="10" xfId="81" applyNumberFormat="1" applyFont="1" applyBorder="1" applyAlignment="1">
      <alignment/>
    </xf>
    <xf numFmtId="175" fontId="78" fillId="0" borderId="10" xfId="0" applyNumberFormat="1" applyFont="1" applyBorder="1" applyAlignment="1">
      <alignment/>
    </xf>
    <xf numFmtId="10" fontId="78" fillId="0" borderId="10" xfId="81" applyNumberFormat="1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vertical="center"/>
    </xf>
    <xf numFmtId="3" fontId="10" fillId="34" borderId="13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34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10" fontId="6" fillId="0" borderId="13" xfId="81" applyNumberFormat="1" applyFont="1" applyBorder="1" applyAlignment="1">
      <alignment vertical="center"/>
    </xf>
    <xf numFmtId="10" fontId="6" fillId="0" borderId="13" xfId="81" applyNumberFormat="1" applyFont="1" applyFill="1" applyBorder="1" applyAlignment="1">
      <alignment vertical="center"/>
    </xf>
    <xf numFmtId="10" fontId="6" fillId="34" borderId="13" xfId="81" applyNumberFormat="1" applyFont="1" applyFill="1" applyBorder="1" applyAlignment="1">
      <alignment vertical="center"/>
    </xf>
    <xf numFmtId="9" fontId="6" fillId="0" borderId="13" xfId="81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79" fillId="0" borderId="13" xfId="0" applyFont="1" applyBorder="1" applyAlignment="1">
      <alignment horizontal="center" vertical="center"/>
    </xf>
    <xf numFmtId="0" fontId="79" fillId="0" borderId="13" xfId="0" applyFont="1" applyBorder="1" applyAlignment="1">
      <alignment vertical="center" wrapText="1"/>
    </xf>
    <xf numFmtId="3" fontId="79" fillId="0" borderId="13" xfId="0" applyNumberFormat="1" applyFont="1" applyBorder="1" applyAlignment="1">
      <alignment vertical="center"/>
    </xf>
    <xf numFmtId="3" fontId="79" fillId="0" borderId="13" xfId="0" applyNumberFormat="1" applyFont="1" applyFill="1" applyBorder="1" applyAlignment="1">
      <alignment vertical="center"/>
    </xf>
    <xf numFmtId="3" fontId="79" fillId="34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80" fillId="0" borderId="13" xfId="0" applyNumberFormat="1" applyFont="1" applyFill="1" applyBorder="1" applyAlignment="1">
      <alignment horizontal="right" vertical="center"/>
    </xf>
    <xf numFmtId="3" fontId="79" fillId="0" borderId="13" xfId="0" applyNumberFormat="1" applyFont="1" applyBorder="1" applyAlignment="1">
      <alignment horizontal="right" vertical="center"/>
    </xf>
    <xf numFmtId="3" fontId="79" fillId="34" borderId="13" xfId="0" applyNumberFormat="1" applyFont="1" applyFill="1" applyBorder="1" applyAlignment="1">
      <alignment horizontal="right" vertical="center"/>
    </xf>
    <xf numFmtId="3" fontId="6" fillId="0" borderId="13" xfId="0" applyNumberFormat="1" applyFont="1" applyBorder="1" applyAlignment="1">
      <alignment vertical="center"/>
    </xf>
    <xf numFmtId="3" fontId="6" fillId="34" borderId="13" xfId="0" applyNumberFormat="1" applyFont="1" applyFill="1" applyBorder="1" applyAlignment="1">
      <alignment vertical="center"/>
    </xf>
    <xf numFmtId="175" fontId="4" fillId="0" borderId="13" xfId="48" applyNumberFormat="1" applyFont="1" applyBorder="1" applyAlignment="1">
      <alignment vertical="center"/>
    </xf>
    <xf numFmtId="175" fontId="4" fillId="0" borderId="13" xfId="48" applyNumberFormat="1" applyFont="1" applyFill="1" applyBorder="1" applyAlignment="1">
      <alignment vertical="center"/>
    </xf>
    <xf numFmtId="175" fontId="4" fillId="34" borderId="13" xfId="48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34" borderId="14" xfId="0" applyNumberFormat="1" applyFont="1" applyFill="1" applyBorder="1" applyAlignment="1">
      <alignment vertical="center"/>
    </xf>
    <xf numFmtId="9" fontId="7" fillId="0" borderId="0" xfId="81" applyFont="1" applyAlignment="1">
      <alignment vertical="center"/>
    </xf>
    <xf numFmtId="9" fontId="7" fillId="0" borderId="0" xfId="81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79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8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8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vertical="center"/>
    </xf>
    <xf numFmtId="49" fontId="2" fillId="0" borderId="13" xfId="42" applyNumberFormat="1" applyFont="1" applyFill="1" applyBorder="1" applyAlignment="1">
      <alignment horizontal="center" vertical="center" wrapText="1"/>
    </xf>
    <xf numFmtId="3" fontId="2" fillId="0" borderId="13" xfId="77" applyNumberFormat="1" applyFont="1" applyFill="1" applyBorder="1" applyAlignment="1">
      <alignment horizontal="right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1" fontId="12" fillId="0" borderId="13" xfId="77" applyNumberFormat="1" applyFont="1" applyFill="1" applyBorder="1" applyAlignment="1">
      <alignment horizontal="center" vertical="center" wrapText="1"/>
      <protection/>
    </xf>
    <xf numFmtId="3" fontId="12" fillId="0" borderId="13" xfId="0" applyNumberFormat="1" applyFont="1" applyFill="1" applyBorder="1" applyAlignment="1">
      <alignment vertical="center"/>
    </xf>
    <xf numFmtId="3" fontId="12" fillId="0" borderId="13" xfId="77" applyNumberFormat="1" applyFont="1" applyFill="1" applyBorder="1" applyAlignment="1">
      <alignment horizontal="right" vertical="center" wrapText="1"/>
      <protection/>
    </xf>
    <xf numFmtId="49" fontId="12" fillId="0" borderId="13" xfId="42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vertical="center"/>
    </xf>
    <xf numFmtId="3" fontId="2" fillId="0" borderId="14" xfId="77" applyNumberFormat="1" applyFont="1" applyFill="1" applyBorder="1" applyAlignment="1">
      <alignment horizontal="right" vertical="center" wrapText="1"/>
      <protection/>
    </xf>
    <xf numFmtId="49" fontId="2" fillId="0" borderId="14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2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174" fontId="2" fillId="0" borderId="13" xfId="42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171" fontId="2" fillId="0" borderId="13" xfId="42" applyNumberFormat="1" applyFont="1" applyFill="1" applyBorder="1" applyAlignment="1">
      <alignment horizontal="right" vertical="center" wrapText="1"/>
    </xf>
    <xf numFmtId="9" fontId="2" fillId="0" borderId="13" xfId="81" applyFont="1" applyFill="1" applyBorder="1" applyAlignment="1">
      <alignment horizontal="center" vertical="center" wrapText="1"/>
    </xf>
    <xf numFmtId="171" fontId="81" fillId="0" borderId="13" xfId="42" applyNumberFormat="1" applyFont="1" applyFill="1" applyBorder="1" applyAlignment="1">
      <alignment horizontal="right" vertical="center" wrapText="1"/>
    </xf>
    <xf numFmtId="174" fontId="12" fillId="0" borderId="13" xfId="42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right" vertical="center"/>
    </xf>
    <xf numFmtId="171" fontId="12" fillId="0" borderId="13" xfId="42" applyNumberFormat="1" applyFont="1" applyFill="1" applyBorder="1" applyAlignment="1">
      <alignment horizontal="right" vertical="center" wrapText="1"/>
    </xf>
    <xf numFmtId="9" fontId="12" fillId="0" borderId="13" xfId="81" applyFont="1" applyFill="1" applyBorder="1" applyAlignment="1">
      <alignment horizontal="center" vertical="center" wrapText="1"/>
    </xf>
    <xf numFmtId="171" fontId="83" fillId="0" borderId="13" xfId="42" applyNumberFormat="1" applyFont="1" applyFill="1" applyBorder="1" applyAlignment="1">
      <alignment horizontal="right" vertical="center" wrapText="1"/>
    </xf>
    <xf numFmtId="10" fontId="12" fillId="0" borderId="13" xfId="81" applyNumberFormat="1" applyFont="1" applyFill="1" applyBorder="1" applyAlignment="1">
      <alignment horizontal="center" vertical="center" wrapText="1"/>
    </xf>
    <xf numFmtId="174" fontId="2" fillId="0" borderId="14" xfId="42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right" vertical="center"/>
    </xf>
    <xf numFmtId="171" fontId="2" fillId="0" borderId="14" xfId="42" applyNumberFormat="1" applyFont="1" applyFill="1" applyBorder="1" applyAlignment="1">
      <alignment horizontal="right" vertical="center" wrapText="1"/>
    </xf>
    <xf numFmtId="9" fontId="2" fillId="0" borderId="14" xfId="81" applyFont="1" applyFill="1" applyBorder="1" applyAlignment="1">
      <alignment horizontal="center" vertical="center" wrapText="1"/>
    </xf>
    <xf numFmtId="171" fontId="81" fillId="0" borderId="14" xfId="42" applyNumberFormat="1" applyFont="1" applyFill="1" applyBorder="1" applyAlignment="1">
      <alignment horizontal="right" vertical="center" wrapText="1"/>
    </xf>
    <xf numFmtId="174" fontId="5" fillId="0" borderId="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71" fontId="2" fillId="0" borderId="0" xfId="42" applyNumberFormat="1" applyFont="1" applyFill="1" applyBorder="1" applyAlignment="1">
      <alignment horizontal="right" vertical="center" wrapText="1"/>
    </xf>
    <xf numFmtId="9" fontId="2" fillId="0" borderId="0" xfId="81" applyNumberFormat="1" applyFont="1" applyFill="1" applyBorder="1" applyAlignment="1">
      <alignment horizontal="center" vertical="center" wrapText="1"/>
    </xf>
    <xf numFmtId="3" fontId="80" fillId="0" borderId="0" xfId="0" applyNumberFormat="1" applyFont="1" applyFill="1" applyBorder="1" applyAlignment="1">
      <alignment vertical="center"/>
    </xf>
    <xf numFmtId="0" fontId="80" fillId="0" borderId="0" xfId="0" applyFont="1" applyFill="1" applyAlignment="1">
      <alignment horizontal="right" vertical="center"/>
    </xf>
    <xf numFmtId="177" fontId="81" fillId="0" borderId="13" xfId="77" applyNumberFormat="1" applyFont="1" applyFill="1" applyBorder="1" applyAlignment="1">
      <alignment horizontal="right" vertical="center"/>
      <protection/>
    </xf>
    <xf numFmtId="177" fontId="83" fillId="0" borderId="13" xfId="77" applyNumberFormat="1" applyFont="1" applyFill="1" applyBorder="1" applyAlignment="1">
      <alignment horizontal="right" vertical="center"/>
      <protection/>
    </xf>
    <xf numFmtId="171" fontId="83" fillId="34" borderId="13" xfId="42" applyNumberFormat="1" applyFont="1" applyFill="1" applyBorder="1" applyAlignment="1">
      <alignment horizontal="right" vertical="center" wrapText="1"/>
    </xf>
    <xf numFmtId="9" fontId="81" fillId="0" borderId="13" xfId="81" applyFont="1" applyFill="1" applyBorder="1" applyAlignment="1">
      <alignment horizontal="right" vertical="center" wrapText="1"/>
    </xf>
    <xf numFmtId="177" fontId="2" fillId="0" borderId="13" xfId="77" applyNumberFormat="1" applyFont="1" applyFill="1" applyBorder="1" applyAlignment="1">
      <alignment horizontal="right" vertical="center"/>
      <protection/>
    </xf>
    <xf numFmtId="9" fontId="81" fillId="0" borderId="13" xfId="81" applyFont="1" applyFill="1" applyBorder="1" applyAlignment="1">
      <alignment horizontal="right" vertical="center"/>
    </xf>
    <xf numFmtId="171" fontId="2" fillId="34" borderId="13" xfId="42" applyNumberFormat="1" applyFont="1" applyFill="1" applyBorder="1" applyAlignment="1">
      <alignment horizontal="right" vertical="center" wrapText="1"/>
    </xf>
    <xf numFmtId="9" fontId="83" fillId="34" borderId="13" xfId="81" applyFont="1" applyFill="1" applyBorder="1" applyAlignment="1">
      <alignment horizontal="right" vertical="center" wrapText="1"/>
    </xf>
    <xf numFmtId="171" fontId="12" fillId="34" borderId="13" xfId="42" applyNumberFormat="1" applyFont="1" applyFill="1" applyBorder="1" applyAlignment="1">
      <alignment horizontal="right" vertical="center" wrapText="1"/>
    </xf>
    <xf numFmtId="177" fontId="12" fillId="0" borderId="13" xfId="77" applyNumberFormat="1" applyFont="1" applyFill="1" applyBorder="1" applyAlignment="1">
      <alignment horizontal="right" vertical="center"/>
      <protection/>
    </xf>
    <xf numFmtId="9" fontId="83" fillId="0" borderId="13" xfId="81" applyFont="1" applyFill="1" applyBorder="1" applyAlignment="1">
      <alignment horizontal="right" vertical="center" wrapText="1"/>
    </xf>
    <xf numFmtId="9" fontId="81" fillId="0" borderId="14" xfId="8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171" fontId="84" fillId="0" borderId="10" xfId="0" applyNumberFormat="1" applyFont="1" applyFill="1" applyBorder="1" applyAlignment="1">
      <alignment horizontal="right" vertical="center" wrapText="1"/>
    </xf>
    <xf numFmtId="0" fontId="84" fillId="0" borderId="10" xfId="0" applyFont="1" applyFill="1" applyBorder="1" applyAlignment="1">
      <alignment horizontal="right" vertical="center" wrapText="1"/>
    </xf>
    <xf numFmtId="171" fontId="84" fillId="0" borderId="15" xfId="0" applyNumberFormat="1" applyFont="1" applyFill="1" applyBorder="1" applyAlignment="1">
      <alignment horizontal="right" vertical="center" wrapText="1"/>
    </xf>
    <xf numFmtId="171" fontId="85" fillId="0" borderId="10" xfId="0" applyNumberFormat="1" applyFont="1" applyFill="1" applyBorder="1" applyAlignment="1">
      <alignment horizontal="right" vertical="center" wrapText="1"/>
    </xf>
    <xf numFmtId="171" fontId="84" fillId="0" borderId="0" xfId="0" applyNumberFormat="1" applyFont="1" applyFill="1" applyBorder="1" applyAlignment="1">
      <alignment vertical="center" wrapText="1"/>
    </xf>
    <xf numFmtId="171" fontId="8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174" fontId="5" fillId="0" borderId="0" xfId="42" applyNumberFormat="1" applyFont="1" applyFill="1" applyBorder="1" applyAlignment="1">
      <alignment vertical="center" wrapText="1"/>
    </xf>
    <xf numFmtId="171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84" fillId="0" borderId="15" xfId="0" applyFont="1" applyFill="1" applyBorder="1" applyAlignment="1">
      <alignment horizontal="right" vertical="center" wrapText="1"/>
    </xf>
    <xf numFmtId="0" fontId="85" fillId="0" borderId="10" xfId="0" applyFont="1" applyFill="1" applyBorder="1" applyAlignment="1">
      <alignment horizontal="right" vertical="center" wrapText="1"/>
    </xf>
    <xf numFmtId="174" fontId="12" fillId="0" borderId="10" xfId="42" applyNumberFormat="1" applyFont="1" applyFill="1" applyBorder="1" applyAlignment="1">
      <alignment horizontal="right" vertical="center" wrapText="1"/>
    </xf>
    <xf numFmtId="171" fontId="12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171" fontId="81" fillId="0" borderId="0" xfId="0" applyNumberFormat="1" applyFont="1" applyFill="1" applyBorder="1" applyAlignment="1">
      <alignment vertical="center" wrapText="1"/>
    </xf>
    <xf numFmtId="3" fontId="7" fillId="0" borderId="0" xfId="78" applyNumberFormat="1" applyFont="1" applyFill="1" applyAlignment="1">
      <alignment vertical="center"/>
      <protection/>
    </xf>
    <xf numFmtId="3" fontId="11" fillId="0" borderId="0" xfId="78" applyNumberFormat="1" applyFont="1" applyFill="1">
      <alignment/>
      <protection/>
    </xf>
    <xf numFmtId="3" fontId="14" fillId="0" borderId="0" xfId="78" applyNumberFormat="1" applyFont="1" applyFill="1" applyAlignment="1">
      <alignment horizontal="center"/>
      <protection/>
    </xf>
    <xf numFmtId="3" fontId="11" fillId="0" borderId="0" xfId="78" applyNumberFormat="1" applyFont="1" applyFill="1" applyAlignment="1">
      <alignment horizontal="center"/>
      <protection/>
    </xf>
    <xf numFmtId="3" fontId="7" fillId="0" borderId="0" xfId="78" applyNumberFormat="1" applyFont="1" applyFill="1" applyAlignment="1">
      <alignment horizontal="center"/>
      <protection/>
    </xf>
    <xf numFmtId="3" fontId="86" fillId="0" borderId="0" xfId="78" applyNumberFormat="1" applyFont="1" applyFill="1" applyAlignment="1">
      <alignment horizontal="center"/>
      <protection/>
    </xf>
    <xf numFmtId="3" fontId="7" fillId="0" borderId="0" xfId="78" applyNumberFormat="1" applyFont="1" applyFill="1">
      <alignment/>
      <protection/>
    </xf>
    <xf numFmtId="3" fontId="7" fillId="0" borderId="0" xfId="78" applyNumberFormat="1" applyFont="1" applyFill="1" applyAlignment="1">
      <alignment horizontal="right"/>
      <protection/>
    </xf>
    <xf numFmtId="3" fontId="11" fillId="0" borderId="0" xfId="78" applyNumberFormat="1" applyFont="1" applyFill="1" applyAlignment="1">
      <alignment horizontal="center" wrapText="1"/>
      <protection/>
    </xf>
    <xf numFmtId="174" fontId="11" fillId="0" borderId="10" xfId="47" applyNumberFormat="1" applyFont="1" applyFill="1" applyBorder="1" applyAlignment="1">
      <alignment horizontal="center" vertical="center" wrapText="1"/>
    </xf>
    <xf numFmtId="174" fontId="11" fillId="0" borderId="16" xfId="47" applyNumberFormat="1" applyFont="1" applyFill="1" applyBorder="1" applyAlignment="1">
      <alignment horizontal="center" vertical="center" wrapText="1"/>
    </xf>
    <xf numFmtId="3" fontId="14" fillId="0" borderId="10" xfId="78" applyNumberFormat="1" applyFont="1" applyFill="1" applyBorder="1" applyAlignment="1">
      <alignment horizontal="center" vertical="center"/>
      <protection/>
    </xf>
    <xf numFmtId="3" fontId="11" fillId="0" borderId="12" xfId="78" applyNumberFormat="1" applyFont="1" applyFill="1" applyBorder="1" applyAlignment="1">
      <alignment horizontal="center" vertical="center"/>
      <protection/>
    </xf>
    <xf numFmtId="3" fontId="11" fillId="0" borderId="12" xfId="78" applyNumberFormat="1" applyFont="1" applyFill="1" applyBorder="1" applyAlignment="1">
      <alignment horizontal="left" vertical="center"/>
      <protection/>
    </xf>
    <xf numFmtId="3" fontId="7" fillId="0" borderId="13" xfId="78" applyNumberFormat="1" applyFont="1" applyFill="1" applyBorder="1" applyAlignment="1">
      <alignment horizontal="center" vertical="center"/>
      <protection/>
    </xf>
    <xf numFmtId="3" fontId="7" fillId="0" borderId="13" xfId="78" applyNumberFormat="1" applyFont="1" applyFill="1" applyBorder="1" applyAlignment="1">
      <alignment horizontal="left" vertical="center"/>
      <protection/>
    </xf>
    <xf numFmtId="3" fontId="7" fillId="0" borderId="13" xfId="47" applyNumberFormat="1" applyFont="1" applyFill="1" applyBorder="1" applyAlignment="1">
      <alignment horizontal="right" vertical="center" wrapText="1"/>
    </xf>
    <xf numFmtId="3" fontId="11" fillId="0" borderId="13" xfId="78" applyNumberFormat="1" applyFont="1" applyFill="1" applyBorder="1" applyAlignment="1">
      <alignment horizontal="center" vertical="center"/>
      <protection/>
    </xf>
    <xf numFmtId="3" fontId="11" fillId="0" borderId="13" xfId="78" applyNumberFormat="1" applyFont="1" applyFill="1" applyBorder="1" applyAlignment="1">
      <alignment horizontal="left" vertical="center"/>
      <protection/>
    </xf>
    <xf numFmtId="3" fontId="11" fillId="0" borderId="13" xfId="47" applyNumberFormat="1" applyFont="1" applyFill="1" applyBorder="1" applyAlignment="1">
      <alignment horizontal="right" vertical="center" wrapText="1"/>
    </xf>
    <xf numFmtId="3" fontId="14" fillId="0" borderId="13" xfId="78" applyNumberFormat="1" applyFont="1" applyFill="1" applyBorder="1" applyAlignment="1">
      <alignment horizontal="center" vertical="center"/>
      <protection/>
    </xf>
    <xf numFmtId="3" fontId="14" fillId="0" borderId="13" xfId="78" applyNumberFormat="1" applyFont="1" applyFill="1" applyBorder="1" applyAlignment="1">
      <alignment horizontal="left" vertical="center" wrapText="1"/>
      <protection/>
    </xf>
    <xf numFmtId="10" fontId="14" fillId="0" borderId="13" xfId="81" applyNumberFormat="1" applyFont="1" applyFill="1" applyBorder="1" applyAlignment="1">
      <alignment horizontal="right" vertical="center" wrapText="1"/>
    </xf>
    <xf numFmtId="10" fontId="14" fillId="0" borderId="13" xfId="47" applyNumberFormat="1" applyFont="1" applyFill="1" applyBorder="1" applyAlignment="1">
      <alignment horizontal="right" vertical="center" wrapText="1"/>
    </xf>
    <xf numFmtId="3" fontId="7" fillId="0" borderId="13" xfId="78" applyNumberFormat="1" applyFont="1" applyFill="1" applyBorder="1" applyAlignment="1">
      <alignment horizontal="left" vertical="center" wrapText="1"/>
      <protection/>
    </xf>
    <xf numFmtId="3" fontId="86" fillId="0" borderId="13" xfId="78" applyNumberFormat="1" applyFont="1" applyFill="1" applyBorder="1" applyAlignment="1">
      <alignment horizontal="center" vertical="center"/>
      <protection/>
    </xf>
    <xf numFmtId="3" fontId="86" fillId="0" borderId="13" xfId="78" applyNumberFormat="1" applyFont="1" applyFill="1" applyBorder="1" applyAlignment="1">
      <alignment horizontal="left" vertical="center" wrapText="1"/>
      <protection/>
    </xf>
    <xf numFmtId="10" fontId="86" fillId="0" borderId="13" xfId="81" applyNumberFormat="1" applyFont="1" applyFill="1" applyBorder="1" applyAlignment="1">
      <alignment horizontal="right" vertical="center" wrapText="1"/>
    </xf>
    <xf numFmtId="3" fontId="14" fillId="0" borderId="14" xfId="78" applyNumberFormat="1" applyFont="1" applyFill="1" applyBorder="1" applyAlignment="1">
      <alignment horizontal="center" vertical="center"/>
      <protection/>
    </xf>
    <xf numFmtId="3" fontId="14" fillId="0" borderId="14" xfId="78" applyNumberFormat="1" applyFont="1" applyFill="1" applyBorder="1" applyAlignment="1">
      <alignment horizontal="left" vertical="center" wrapText="1"/>
      <protection/>
    </xf>
    <xf numFmtId="3" fontId="14" fillId="0" borderId="14" xfId="47" applyNumberFormat="1" applyFont="1" applyFill="1" applyBorder="1" applyAlignment="1">
      <alignment horizontal="right" vertical="center" wrapText="1"/>
    </xf>
    <xf numFmtId="3" fontId="14" fillId="0" borderId="0" xfId="78" applyNumberFormat="1" applyFont="1" applyFill="1" applyBorder="1" applyAlignment="1">
      <alignment horizontal="center" vertical="center"/>
      <protection/>
    </xf>
    <xf numFmtId="3" fontId="14" fillId="0" borderId="0" xfId="78" applyNumberFormat="1" applyFont="1" applyFill="1" applyBorder="1" applyAlignment="1">
      <alignment horizontal="left" vertical="center" wrapText="1"/>
      <protection/>
    </xf>
    <xf numFmtId="3" fontId="14" fillId="0" borderId="0" xfId="47" applyNumberFormat="1" applyFont="1" applyFill="1" applyBorder="1" applyAlignment="1">
      <alignment horizontal="right" vertical="center" wrapText="1"/>
    </xf>
    <xf numFmtId="10" fontId="86" fillId="0" borderId="13" xfId="47" applyNumberFormat="1" applyFont="1" applyFill="1" applyBorder="1" applyAlignment="1">
      <alignment horizontal="right" vertical="center" wrapText="1"/>
    </xf>
    <xf numFmtId="3" fontId="86" fillId="0" borderId="13" xfId="47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 quotePrefix="1">
      <alignment horizontal="center" vertical="center"/>
    </xf>
    <xf numFmtId="1" fontId="2" fillId="0" borderId="13" xfId="77" applyNumberFormat="1" applyFont="1" applyFill="1" applyBorder="1" applyAlignment="1">
      <alignment horizontal="center" vertical="center" wrapText="1"/>
      <protection/>
    </xf>
    <xf numFmtId="1" fontId="2" fillId="0" borderId="14" xfId="77" applyNumberFormat="1" applyFont="1" applyFill="1" applyBorder="1" applyAlignment="1">
      <alignment horizontal="center" vertical="center" wrapText="1"/>
      <protection/>
    </xf>
    <xf numFmtId="3" fontId="11" fillId="0" borderId="0" xfId="78" applyNumberFormat="1" applyFont="1" applyFill="1" applyAlignment="1">
      <alignment horizontal="left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vertical="center"/>
    </xf>
    <xf numFmtId="49" fontId="2" fillId="0" borderId="17" xfId="42" applyNumberFormat="1" applyFont="1" applyFill="1" applyBorder="1" applyAlignment="1">
      <alignment horizontal="center" vertical="center" wrapText="1"/>
    </xf>
    <xf numFmtId="174" fontId="2" fillId="0" borderId="17" xfId="42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right" vertical="center"/>
    </xf>
    <xf numFmtId="171" fontId="2" fillId="0" borderId="17" xfId="42" applyNumberFormat="1" applyFont="1" applyFill="1" applyBorder="1" applyAlignment="1">
      <alignment horizontal="right" vertical="center" wrapText="1"/>
    </xf>
    <xf numFmtId="9" fontId="2" fillId="0" borderId="17" xfId="81" applyFont="1" applyFill="1" applyBorder="1" applyAlignment="1">
      <alignment horizontal="center" vertical="center" wrapText="1"/>
    </xf>
    <xf numFmtId="171" fontId="81" fillId="0" borderId="17" xfId="42" applyNumberFormat="1" applyFont="1" applyFill="1" applyBorder="1" applyAlignment="1">
      <alignment horizontal="right" vertical="center" wrapText="1"/>
    </xf>
    <xf numFmtId="177" fontId="81" fillId="0" borderId="17" xfId="77" applyNumberFormat="1" applyFont="1" applyFill="1" applyBorder="1" applyAlignment="1">
      <alignment horizontal="right" vertical="center"/>
      <protection/>
    </xf>
    <xf numFmtId="9" fontId="81" fillId="0" borderId="17" xfId="8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1" fillId="0" borderId="12" xfId="47" applyNumberFormat="1" applyFont="1" applyFill="1" applyBorder="1" applyAlignment="1">
      <alignment horizontal="right" vertical="center" wrapText="1"/>
    </xf>
    <xf numFmtId="3" fontId="24" fillId="0" borderId="0" xfId="78" applyNumberFormat="1" applyFont="1" applyFill="1" applyAlignment="1">
      <alignment horizontal="center" vertical="center" wrapText="1"/>
      <protection/>
    </xf>
    <xf numFmtId="3" fontId="25" fillId="0" borderId="0" xfId="78" applyNumberFormat="1" applyFont="1" applyFill="1" applyAlignment="1">
      <alignment horizontal="center" wrapText="1"/>
      <protection/>
    </xf>
    <xf numFmtId="174" fontId="11" fillId="0" borderId="16" xfId="47" applyNumberFormat="1" applyFont="1" applyFill="1" applyBorder="1" applyAlignment="1">
      <alignment horizontal="center" vertical="center" wrapText="1"/>
    </xf>
    <xf numFmtId="174" fontId="11" fillId="0" borderId="18" xfId="47" applyNumberFormat="1" applyFont="1" applyFill="1" applyBorder="1" applyAlignment="1">
      <alignment horizontal="center" vertical="center" wrapText="1"/>
    </xf>
    <xf numFmtId="174" fontId="11" fillId="0" borderId="19" xfId="47" applyNumberFormat="1" applyFont="1" applyFill="1" applyBorder="1" applyAlignment="1">
      <alignment horizontal="center" vertical="center" wrapText="1"/>
    </xf>
    <xf numFmtId="3" fontId="15" fillId="0" borderId="0" xfId="78" applyNumberFormat="1" applyFont="1" applyFill="1" applyBorder="1" applyAlignment="1">
      <alignment horizontal="center" vertical="center" wrapText="1"/>
      <protection/>
    </xf>
    <xf numFmtId="3" fontId="11" fillId="0" borderId="10" xfId="78" applyNumberFormat="1" applyFont="1" applyFill="1" applyBorder="1" applyAlignment="1">
      <alignment horizontal="center" vertical="center" wrapText="1"/>
      <protection/>
    </xf>
    <xf numFmtId="174" fontId="11" fillId="0" borderId="10" xfId="47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 horizontal="center" vertical="center"/>
    </xf>
    <xf numFmtId="3" fontId="4" fillId="33" borderId="24" xfId="0" applyNumberFormat="1" applyFont="1" applyFill="1" applyBorder="1" applyAlignment="1">
      <alignment horizontal="center" vertical="center"/>
    </xf>
    <xf numFmtId="3" fontId="4" fillId="33" borderId="25" xfId="0" applyNumberFormat="1" applyFont="1" applyFill="1" applyBorder="1" applyAlignment="1">
      <alignment horizontal="center" vertical="center"/>
    </xf>
    <xf numFmtId="3" fontId="4" fillId="33" borderId="26" xfId="0" applyNumberFormat="1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 vertical="center"/>
    </xf>
    <xf numFmtId="3" fontId="4" fillId="33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89" fillId="34" borderId="2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0" xfId="44"/>
    <cellStyle name="Comma 10 2" xfId="45"/>
    <cellStyle name="Comma 2 4 3" xfId="46"/>
    <cellStyle name="Comma 20" xfId="47"/>
    <cellStyle name="Comma 3 8 2" xfId="48"/>
    <cellStyle name="Comma 4 2" xfId="49"/>
    <cellStyle name="Comma 4 2 5" xfId="50"/>
    <cellStyle name="Comma 4 2_bieu 21" xfId="51"/>
    <cellStyle name="Comma 5" xfId="52"/>
    <cellStyle name="Comma 5 17" xfId="53"/>
    <cellStyle name="Currency" xfId="54"/>
    <cellStyle name="Currency [0]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 2 2" xfId="67"/>
    <cellStyle name="Normal 11" xfId="68"/>
    <cellStyle name="Normal 11 3 5" xfId="69"/>
    <cellStyle name="Normal 11 4 2" xfId="70"/>
    <cellStyle name="Normal 13 3" xfId="71"/>
    <cellStyle name="Normal 13 3 2" xfId="72"/>
    <cellStyle name="Normal 15 4" xfId="73"/>
    <cellStyle name="Normal 19 4" xfId="74"/>
    <cellStyle name="Normal 2" xfId="75"/>
    <cellStyle name="Normal 67" xfId="76"/>
    <cellStyle name="Normal_Bieu mau (CV )" xfId="77"/>
    <cellStyle name="Normal_H040825- Can doi NSDP 2005 2" xfId="78"/>
    <cellStyle name="Note" xfId="79"/>
    <cellStyle name="Output" xfId="80"/>
    <cellStyle name="Percent" xfId="81"/>
    <cellStyle name="Style 1 2 2" xfId="82"/>
    <cellStyle name="Title" xfId="83"/>
    <cellStyle name="Total" xfId="84"/>
    <cellStyle name="Warning Text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="80" zoomScaleNormal="80" zoomScalePageLayoutView="0" workbookViewId="0" topLeftCell="A1">
      <selection activeCell="A5" sqref="A5:U5"/>
    </sheetView>
  </sheetViews>
  <sheetFormatPr defaultColWidth="8.75390625" defaultRowHeight="15.75"/>
  <cols>
    <col min="1" max="1" width="4.50390625" style="184" customWidth="1"/>
    <col min="2" max="2" width="49.875" style="186" customWidth="1"/>
    <col min="3" max="3" width="11.75390625" style="187" customWidth="1"/>
    <col min="4" max="8" width="10.25390625" style="187" hidden="1" customWidth="1"/>
    <col min="9" max="9" width="11.00390625" style="187" hidden="1" customWidth="1"/>
    <col min="10" max="14" width="10.25390625" style="187" hidden="1" customWidth="1"/>
    <col min="15" max="21" width="11.75390625" style="187" customWidth="1"/>
    <col min="22" max="22" width="36.75390625" style="186" hidden="1" customWidth="1"/>
    <col min="23" max="23" width="12.375" style="186" customWidth="1"/>
    <col min="24" max="24" width="11.50390625" style="186" customWidth="1"/>
    <col min="25" max="32" width="9.00390625" style="186" bestFit="1" customWidth="1"/>
    <col min="33" max="16384" width="8.75390625" style="186" customWidth="1"/>
  </cols>
  <sheetData>
    <row r="1" ht="15.75">
      <c r="U1" s="187" t="s">
        <v>0</v>
      </c>
    </row>
    <row r="2" spans="1:21" ht="22.5">
      <c r="A2" s="233" t="s">
        <v>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</row>
    <row r="3" spans="1:21" s="180" customFormat="1" ht="20.25" customHeight="1">
      <c r="A3" s="233" t="s">
        <v>188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</row>
    <row r="4" spans="1:21" ht="23.25" hidden="1">
      <c r="A4" s="234" t="str">
        <f>+'PL kèm theo trình'!A3:AZ3</f>
        <v>(Kèm theo Tờ trình số 735/TTr-UBND ngày  24   tháng 11 năm 2020 của Ủy ban nhân dân tỉnh An Giang)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</row>
    <row r="5" spans="1:21" ht="23.25">
      <c r="A5" s="234" t="s">
        <v>192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</row>
    <row r="6" spans="1:21" ht="15.75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7" t="s">
        <v>2</v>
      </c>
    </row>
    <row r="7" spans="1:21" s="181" customFormat="1" ht="30" customHeight="1">
      <c r="A7" s="239" t="s">
        <v>3</v>
      </c>
      <c r="B7" s="239" t="s">
        <v>4</v>
      </c>
      <c r="C7" s="240" t="s">
        <v>191</v>
      </c>
      <c r="D7" s="235" t="s">
        <v>5</v>
      </c>
      <c r="E7" s="236"/>
      <c r="F7" s="236"/>
      <c r="G7" s="236"/>
      <c r="H7" s="237"/>
      <c r="I7" s="235" t="s">
        <v>6</v>
      </c>
      <c r="J7" s="236"/>
      <c r="K7" s="236"/>
      <c r="L7" s="236"/>
      <c r="M7" s="236"/>
      <c r="N7" s="237"/>
      <c r="O7" s="235" t="s">
        <v>190</v>
      </c>
      <c r="P7" s="236"/>
      <c r="Q7" s="236"/>
      <c r="R7" s="236"/>
      <c r="S7" s="236"/>
      <c r="T7" s="236"/>
      <c r="U7" s="240" t="s">
        <v>7</v>
      </c>
    </row>
    <row r="8" spans="1:21" s="181" customFormat="1" ht="41.25" customHeight="1">
      <c r="A8" s="239"/>
      <c r="B8" s="239"/>
      <c r="C8" s="240"/>
      <c r="D8" s="189" t="s">
        <v>8</v>
      </c>
      <c r="E8" s="189" t="s">
        <v>9</v>
      </c>
      <c r="F8" s="189" t="s">
        <v>10</v>
      </c>
      <c r="G8" s="189" t="s">
        <v>11</v>
      </c>
      <c r="H8" s="190" t="s">
        <v>12</v>
      </c>
      <c r="I8" s="189" t="s">
        <v>13</v>
      </c>
      <c r="J8" s="189" t="s">
        <v>8</v>
      </c>
      <c r="K8" s="189" t="s">
        <v>9</v>
      </c>
      <c r="L8" s="189" t="s">
        <v>10</v>
      </c>
      <c r="M8" s="189" t="s">
        <v>11</v>
      </c>
      <c r="N8" s="190" t="s">
        <v>12</v>
      </c>
      <c r="O8" s="189" t="s">
        <v>13</v>
      </c>
      <c r="P8" s="189" t="s">
        <v>8</v>
      </c>
      <c r="Q8" s="189" t="s">
        <v>9</v>
      </c>
      <c r="R8" s="189" t="s">
        <v>10</v>
      </c>
      <c r="S8" s="189" t="s">
        <v>11</v>
      </c>
      <c r="T8" s="190" t="s">
        <v>14</v>
      </c>
      <c r="U8" s="240"/>
    </row>
    <row r="9" spans="1:21" s="182" customFormat="1" ht="15.75">
      <c r="A9" s="191" t="s">
        <v>15</v>
      </c>
      <c r="B9" s="191" t="s">
        <v>16</v>
      </c>
      <c r="C9" s="191">
        <v>1</v>
      </c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>
        <v>2</v>
      </c>
      <c r="P9" s="191">
        <v>3</v>
      </c>
      <c r="Q9" s="191">
        <v>4</v>
      </c>
      <c r="R9" s="191">
        <v>5</v>
      </c>
      <c r="S9" s="191">
        <v>6</v>
      </c>
      <c r="T9" s="191">
        <v>7</v>
      </c>
      <c r="U9" s="191">
        <v>8</v>
      </c>
    </row>
    <row r="10" spans="1:21" s="183" customFormat="1" ht="23.25" customHeight="1">
      <c r="A10" s="192" t="s">
        <v>17</v>
      </c>
      <c r="B10" s="193" t="s">
        <v>189</v>
      </c>
      <c r="C10" s="232">
        <v>25177628</v>
      </c>
      <c r="D10" s="232">
        <v>709740</v>
      </c>
      <c r="E10" s="232">
        <v>984340</v>
      </c>
      <c r="F10" s="232">
        <v>1014520</v>
      </c>
      <c r="G10" s="232">
        <v>1048780.8</v>
      </c>
      <c r="H10" s="232">
        <v>1162640</v>
      </c>
      <c r="I10" s="232"/>
      <c r="J10" s="232"/>
      <c r="K10" s="232"/>
      <c r="L10" s="232"/>
      <c r="M10" s="232"/>
      <c r="N10" s="232"/>
      <c r="O10" s="232">
        <f>SUM(P10:T10)</f>
        <v>27582000</v>
      </c>
      <c r="P10" s="232">
        <v>4860462</v>
      </c>
      <c r="Q10" s="232">
        <v>5347753</v>
      </c>
      <c r="R10" s="232">
        <v>5304989</v>
      </c>
      <c r="S10" s="232">
        <v>6123736</v>
      </c>
      <c r="T10" s="232">
        <v>5945060</v>
      </c>
      <c r="U10" s="232">
        <v>35848505</v>
      </c>
    </row>
    <row r="11" spans="1:21" s="183" customFormat="1" ht="23.25" customHeight="1">
      <c r="A11" s="197" t="s">
        <v>21</v>
      </c>
      <c r="B11" s="198" t="s">
        <v>18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</row>
    <row r="12" spans="1:21" s="184" customFormat="1" ht="21.75" customHeight="1">
      <c r="A12" s="194">
        <v>1</v>
      </c>
      <c r="B12" s="195" t="s">
        <v>19</v>
      </c>
      <c r="C12" s="196">
        <f>SUM(D12:H12)</f>
        <v>122220</v>
      </c>
      <c r="D12" s="196"/>
      <c r="E12" s="196">
        <v>11320</v>
      </c>
      <c r="F12" s="196">
        <v>93500</v>
      </c>
      <c r="G12" s="196">
        <v>17400</v>
      </c>
      <c r="H12" s="196"/>
      <c r="I12" s="196"/>
      <c r="J12" s="196"/>
      <c r="K12" s="196"/>
      <c r="L12" s="196"/>
      <c r="M12" s="196"/>
      <c r="N12" s="196"/>
      <c r="O12" s="196">
        <f>SUM(P12:T12)</f>
        <v>122220</v>
      </c>
      <c r="P12" s="196"/>
      <c r="Q12" s="196">
        <v>11320</v>
      </c>
      <c r="R12" s="196">
        <v>93500</v>
      </c>
      <c r="S12" s="196">
        <v>17400</v>
      </c>
      <c r="T12" s="196"/>
      <c r="U12" s="196">
        <f>+'PL thuyết minh (ko trình)'!F$11</f>
        <v>32936</v>
      </c>
    </row>
    <row r="13" spans="1:21" s="184" customFormat="1" ht="21.75" customHeight="1">
      <c r="A13" s="194">
        <v>2</v>
      </c>
      <c r="B13" s="195" t="s">
        <v>20</v>
      </c>
      <c r="C13" s="196">
        <f>SUM(D13:H13)</f>
        <v>122400</v>
      </c>
      <c r="D13" s="196"/>
      <c r="E13" s="196"/>
      <c r="F13" s="196"/>
      <c r="G13" s="196"/>
      <c r="H13" s="196">
        <v>122400</v>
      </c>
      <c r="I13" s="196"/>
      <c r="J13" s="196"/>
      <c r="K13" s="196"/>
      <c r="L13" s="196"/>
      <c r="M13" s="196"/>
      <c r="N13" s="196"/>
      <c r="O13" s="196">
        <f>SUM(P13:T13)</f>
        <v>122400</v>
      </c>
      <c r="P13" s="196"/>
      <c r="Q13" s="196"/>
      <c r="R13" s="196"/>
      <c r="S13" s="196"/>
      <c r="T13" s="196">
        <v>122400</v>
      </c>
      <c r="U13" s="196">
        <f>+'PL thuyết minh (ko trình)'!F$10</f>
        <v>684033.3333333333</v>
      </c>
    </row>
    <row r="14" spans="1:21" s="183" customFormat="1" ht="21.75" customHeight="1">
      <c r="A14" s="197" t="s">
        <v>153</v>
      </c>
      <c r="B14" s="198" t="s">
        <v>22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</row>
    <row r="15" spans="1:22" s="183" customFormat="1" ht="21.75" customHeight="1">
      <c r="A15" s="197">
        <v>1</v>
      </c>
      <c r="B15" s="198" t="s">
        <v>23</v>
      </c>
      <c r="C15" s="199">
        <f>SUM(D15:H15)</f>
        <v>4920020.8</v>
      </c>
      <c r="D15" s="199">
        <v>709740</v>
      </c>
      <c r="E15" s="199">
        <v>984340</v>
      </c>
      <c r="F15" s="199">
        <v>1014520</v>
      </c>
      <c r="G15" s="199">
        <v>1048780.8</v>
      </c>
      <c r="H15" s="199">
        <v>1162640</v>
      </c>
      <c r="I15" s="199"/>
      <c r="J15" s="199"/>
      <c r="K15" s="199"/>
      <c r="L15" s="199"/>
      <c r="M15" s="199"/>
      <c r="N15" s="199"/>
      <c r="O15" s="199">
        <f>SUM(P15:T15)</f>
        <v>5516400</v>
      </c>
      <c r="P15" s="199">
        <f>+P10*0.2</f>
        <v>972092.4</v>
      </c>
      <c r="Q15" s="199">
        <f>+Q10*0.2</f>
        <v>1069550.6</v>
      </c>
      <c r="R15" s="199">
        <f>+R10*0.2</f>
        <v>1060997.8</v>
      </c>
      <c r="S15" s="199">
        <f>+S10*0.2</f>
        <v>1224747.2</v>
      </c>
      <c r="T15" s="199">
        <f>+T10*0.2</f>
        <v>1189012</v>
      </c>
      <c r="U15" s="199">
        <f>+'PL thuyết minh (ko trình)'!$F$12</f>
        <v>7169701</v>
      </c>
      <c r="V15" s="219" t="s">
        <v>186</v>
      </c>
    </row>
    <row r="16" spans="1:21" s="183" customFormat="1" ht="21.75" customHeight="1">
      <c r="A16" s="197">
        <v>2</v>
      </c>
      <c r="B16" s="198" t="s">
        <v>24</v>
      </c>
      <c r="C16" s="199">
        <f>SUM(D16:H16)</f>
        <v>2805955</v>
      </c>
      <c r="D16" s="199">
        <v>897353</v>
      </c>
      <c r="E16" s="199">
        <f>+D27</f>
        <v>705970</v>
      </c>
      <c r="F16" s="199">
        <v>531000</v>
      </c>
      <c r="G16" s="199">
        <v>387402</v>
      </c>
      <c r="H16" s="199">
        <v>284230</v>
      </c>
      <c r="I16" s="199"/>
      <c r="J16" s="199"/>
      <c r="K16" s="199"/>
      <c r="L16" s="199"/>
      <c r="M16" s="199"/>
      <c r="N16" s="199"/>
      <c r="O16" s="199">
        <f>SUM(P16:T16)</f>
        <v>2797272</v>
      </c>
      <c r="P16" s="199">
        <v>897353</v>
      </c>
      <c r="Q16" s="199">
        <f>+P27</f>
        <v>705970</v>
      </c>
      <c r="R16" s="199">
        <f>+Q27</f>
        <v>531000</v>
      </c>
      <c r="S16" s="199">
        <f>+R27</f>
        <v>385519</v>
      </c>
      <c r="T16" s="199">
        <f>+S27</f>
        <v>277430</v>
      </c>
      <c r="U16" s="199">
        <f>+'PL thuyết minh (ko trình)'!$F$14</f>
        <v>2657315.333333333</v>
      </c>
    </row>
    <row r="17" spans="1:21" s="182" customFormat="1" ht="31.5">
      <c r="A17" s="200"/>
      <c r="B17" s="201" t="s">
        <v>25</v>
      </c>
      <c r="C17" s="202">
        <f aca="true" t="shared" si="0" ref="C17:H17">+C16/C15</f>
        <v>0.5703136458284892</v>
      </c>
      <c r="D17" s="202">
        <f t="shared" si="0"/>
        <v>1.2643404627046524</v>
      </c>
      <c r="E17" s="202">
        <f t="shared" si="0"/>
        <v>0.7172013735091534</v>
      </c>
      <c r="F17" s="202">
        <f t="shared" si="0"/>
        <v>0.5234002286795726</v>
      </c>
      <c r="G17" s="202">
        <f t="shared" si="0"/>
        <v>0.36938319236965433</v>
      </c>
      <c r="H17" s="202">
        <f t="shared" si="0"/>
        <v>0.24446948324502857</v>
      </c>
      <c r="I17" s="203"/>
      <c r="J17" s="203"/>
      <c r="K17" s="203"/>
      <c r="L17" s="203"/>
      <c r="M17" s="203"/>
      <c r="N17" s="203"/>
      <c r="O17" s="202">
        <f aca="true" t="shared" si="1" ref="O17:U17">+O16/O15</f>
        <v>0.5070828801392212</v>
      </c>
      <c r="P17" s="202">
        <f t="shared" si="1"/>
        <v>0.923114921997127</v>
      </c>
      <c r="Q17" s="202">
        <f t="shared" si="1"/>
        <v>0.660062272883583</v>
      </c>
      <c r="R17" s="202">
        <f t="shared" si="1"/>
        <v>0.5004722912714805</v>
      </c>
      <c r="S17" s="202">
        <f t="shared" si="1"/>
        <v>0.3147743469019566</v>
      </c>
      <c r="T17" s="202">
        <f t="shared" si="1"/>
        <v>0.23332817498898245</v>
      </c>
      <c r="U17" s="202">
        <f t="shared" si="1"/>
        <v>0.37063126249383804</v>
      </c>
    </row>
    <row r="18" spans="1:21" s="182" customFormat="1" ht="21.75" customHeight="1">
      <c r="A18" s="200"/>
      <c r="B18" s="201" t="s">
        <v>26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</row>
    <row r="19" spans="1:21" s="183" customFormat="1" ht="21.75" customHeight="1">
      <c r="A19" s="197">
        <v>3</v>
      </c>
      <c r="B19" s="198" t="s">
        <v>27</v>
      </c>
      <c r="C19" s="199">
        <f>SUM(D19:H19)</f>
        <v>851053</v>
      </c>
      <c r="D19" s="199">
        <v>214383</v>
      </c>
      <c r="E19" s="199">
        <v>264970</v>
      </c>
      <c r="F19" s="199">
        <v>162700</v>
      </c>
      <c r="G19" s="199">
        <v>118900</v>
      </c>
      <c r="H19" s="199">
        <v>90100</v>
      </c>
      <c r="I19" s="199"/>
      <c r="J19" s="199"/>
      <c r="K19" s="199"/>
      <c r="L19" s="199"/>
      <c r="M19" s="199"/>
      <c r="N19" s="199"/>
      <c r="O19" s="199">
        <f>SUM(P19:T19)</f>
        <v>798602</v>
      </c>
      <c r="P19" s="199">
        <v>214383</v>
      </c>
      <c r="Q19" s="199">
        <v>174970</v>
      </c>
      <c r="R19" s="199">
        <v>151450</v>
      </c>
      <c r="S19" s="199">
        <v>118919</v>
      </c>
      <c r="T19" s="199">
        <v>138880</v>
      </c>
      <c r="U19" s="199">
        <f>+'PL thuyết minh (ko trình)'!$F$21</f>
        <v>178923</v>
      </c>
    </row>
    <row r="20" spans="1:21" s="183" customFormat="1" ht="21.75" customHeight="1">
      <c r="A20" s="197" t="s">
        <v>28</v>
      </c>
      <c r="B20" s="204" t="s">
        <v>29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</row>
    <row r="21" spans="1:21" s="183" customFormat="1" ht="34.5" customHeight="1">
      <c r="A21" s="197" t="s">
        <v>28</v>
      </c>
      <c r="B21" s="204" t="s">
        <v>30</v>
      </c>
      <c r="C21" s="196">
        <f>SUM(D21:H21)</f>
        <v>851053</v>
      </c>
      <c r="D21" s="196">
        <v>214383</v>
      </c>
      <c r="E21" s="196">
        <v>264970</v>
      </c>
      <c r="F21" s="196">
        <v>162700</v>
      </c>
      <c r="G21" s="196">
        <v>118900</v>
      </c>
      <c r="H21" s="196">
        <v>90100</v>
      </c>
      <c r="I21" s="196"/>
      <c r="J21" s="196"/>
      <c r="K21" s="196"/>
      <c r="L21" s="196"/>
      <c r="M21" s="196"/>
      <c r="N21" s="196"/>
      <c r="O21" s="196">
        <f>SUM(P21:T21)</f>
        <v>798602</v>
      </c>
      <c r="P21" s="196">
        <v>214383</v>
      </c>
      <c r="Q21" s="196">
        <v>174970</v>
      </c>
      <c r="R21" s="196">
        <v>151450</v>
      </c>
      <c r="S21" s="196">
        <v>118919</v>
      </c>
      <c r="T21" s="196">
        <v>138880</v>
      </c>
      <c r="U21" s="196">
        <f>+'PL thuyết minh (ko trình)'!$F$21</f>
        <v>178923</v>
      </c>
    </row>
    <row r="22" spans="1:21" s="185" customFormat="1" ht="24.75" customHeight="1" hidden="1">
      <c r="A22" s="205"/>
      <c r="B22" s="206" t="s">
        <v>31</v>
      </c>
      <c r="C22" s="207"/>
      <c r="D22" s="207"/>
      <c r="E22" s="207"/>
      <c r="F22" s="207"/>
      <c r="G22" s="207"/>
      <c r="H22" s="207"/>
      <c r="I22" s="214"/>
      <c r="J22" s="214"/>
      <c r="K22" s="214"/>
      <c r="L22" s="214"/>
      <c r="M22" s="214"/>
      <c r="N22" s="214"/>
      <c r="O22" s="207"/>
      <c r="P22" s="207"/>
      <c r="Q22" s="207"/>
      <c r="R22" s="207"/>
      <c r="S22" s="207"/>
      <c r="T22" s="207"/>
      <c r="U22" s="215">
        <f>+'PL thuyết minh (ko trình)'!F24</f>
        <v>57172</v>
      </c>
    </row>
    <row r="23" spans="1:21" s="185" customFormat="1" ht="24.75" customHeight="1" hidden="1">
      <c r="A23" s="205"/>
      <c r="B23" s="206" t="s">
        <v>32</v>
      </c>
      <c r="C23" s="207"/>
      <c r="D23" s="207"/>
      <c r="E23" s="207"/>
      <c r="F23" s="207"/>
      <c r="G23" s="207"/>
      <c r="H23" s="207"/>
      <c r="I23" s="214"/>
      <c r="J23" s="214"/>
      <c r="K23" s="214"/>
      <c r="L23" s="214"/>
      <c r="M23" s="214"/>
      <c r="N23" s="214"/>
      <c r="O23" s="207"/>
      <c r="P23" s="207"/>
      <c r="Q23" s="207"/>
      <c r="R23" s="207"/>
      <c r="S23" s="207"/>
      <c r="T23" s="207"/>
      <c r="U23" s="215">
        <f>+'PL thuyết minh (ko trình)'!F25</f>
        <v>121751</v>
      </c>
    </row>
    <row r="24" spans="1:21" s="183" customFormat="1" ht="21.75" customHeight="1">
      <c r="A24" s="197">
        <v>4</v>
      </c>
      <c r="B24" s="198" t="s">
        <v>33</v>
      </c>
      <c r="C24" s="199">
        <f>+C25+C26</f>
        <v>659850</v>
      </c>
      <c r="D24" s="199">
        <f aca="true" t="shared" si="2" ref="D24:U24">+D25+D26</f>
        <v>23000</v>
      </c>
      <c r="E24" s="199">
        <f t="shared" si="2"/>
        <v>253650</v>
      </c>
      <c r="F24" s="199">
        <f t="shared" si="2"/>
        <v>69200</v>
      </c>
      <c r="G24" s="199">
        <f t="shared" si="2"/>
        <v>101500</v>
      </c>
      <c r="H24" s="199">
        <f t="shared" si="2"/>
        <v>212500</v>
      </c>
      <c r="I24" s="199">
        <f t="shared" si="2"/>
        <v>0</v>
      </c>
      <c r="J24" s="199">
        <f t="shared" si="2"/>
        <v>0</v>
      </c>
      <c r="K24" s="199">
        <f t="shared" si="2"/>
        <v>0</v>
      </c>
      <c r="L24" s="199">
        <f t="shared" si="2"/>
        <v>0</v>
      </c>
      <c r="M24" s="199">
        <f t="shared" si="2"/>
        <v>0</v>
      </c>
      <c r="N24" s="199">
        <f t="shared" si="2"/>
        <v>0</v>
      </c>
      <c r="O24" s="199">
        <f t="shared" si="2"/>
        <v>122526</v>
      </c>
      <c r="P24" s="199">
        <f t="shared" si="2"/>
        <v>23000</v>
      </c>
      <c r="Q24" s="199">
        <f t="shared" si="2"/>
        <v>0</v>
      </c>
      <c r="R24" s="199">
        <f t="shared" si="2"/>
        <v>5969</v>
      </c>
      <c r="S24" s="199">
        <f t="shared" si="2"/>
        <v>10830</v>
      </c>
      <c r="T24" s="199">
        <f t="shared" si="2"/>
        <v>82727</v>
      </c>
      <c r="U24" s="199">
        <f t="shared" si="2"/>
        <v>684033</v>
      </c>
    </row>
    <row r="25" spans="1:21" s="184" customFormat="1" ht="21.75" customHeight="1">
      <c r="A25" s="194"/>
      <c r="B25" s="195" t="s">
        <v>34</v>
      </c>
      <c r="C25" s="196">
        <f>SUM(D25:H25)</f>
        <v>659850</v>
      </c>
      <c r="D25" s="196">
        <v>23000</v>
      </c>
      <c r="E25" s="196">
        <v>253650</v>
      </c>
      <c r="F25" s="196">
        <v>69200</v>
      </c>
      <c r="G25" s="196">
        <v>101500</v>
      </c>
      <c r="H25" s="196">
        <v>212500</v>
      </c>
      <c r="I25" s="196"/>
      <c r="J25" s="196"/>
      <c r="K25" s="196"/>
      <c r="L25" s="196"/>
      <c r="M25" s="196"/>
      <c r="N25" s="196"/>
      <c r="O25" s="196">
        <f>SUM(P25:T25)</f>
        <v>122526</v>
      </c>
      <c r="P25" s="196">
        <v>23000</v>
      </c>
      <c r="Q25" s="196">
        <v>0</v>
      </c>
      <c r="R25" s="196">
        <v>5969</v>
      </c>
      <c r="S25" s="196">
        <v>10830</v>
      </c>
      <c r="T25" s="196">
        <v>82727</v>
      </c>
      <c r="U25" s="196">
        <f>+'PL thuyết minh (ko trình)'!F$34</f>
        <v>684033</v>
      </c>
    </row>
    <row r="26" spans="1:21" s="184" customFormat="1" ht="21.75" customHeight="1">
      <c r="A26" s="194"/>
      <c r="B26" s="195" t="s">
        <v>35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</row>
    <row r="27" spans="1:21" s="183" customFormat="1" ht="21.75" customHeight="1">
      <c r="A27" s="197">
        <v>5</v>
      </c>
      <c r="B27" s="198" t="s">
        <v>36</v>
      </c>
      <c r="C27" s="199">
        <f>SUM(D27:H27)</f>
        <v>2614752</v>
      </c>
      <c r="D27" s="199">
        <f>+D16-D19+D24</f>
        <v>705970</v>
      </c>
      <c r="E27" s="199">
        <f>+E16-E19+E24</f>
        <v>694650</v>
      </c>
      <c r="F27" s="199">
        <f>+F16-F19+F24</f>
        <v>437500</v>
      </c>
      <c r="G27" s="199">
        <f>+G16-G19+G24</f>
        <v>370002</v>
      </c>
      <c r="H27" s="199">
        <f>+H16-H19+H24</f>
        <v>406630</v>
      </c>
      <c r="I27" s="199"/>
      <c r="J27" s="199"/>
      <c r="K27" s="199"/>
      <c r="L27" s="199"/>
      <c r="M27" s="199"/>
      <c r="N27" s="199"/>
      <c r="O27" s="199">
        <f>SUM(P27:T27)</f>
        <v>2121196</v>
      </c>
      <c r="P27" s="199">
        <f>+P16-P19+P24</f>
        <v>705970</v>
      </c>
      <c r="Q27" s="199">
        <f>+Q16-Q19+Q24</f>
        <v>531000</v>
      </c>
      <c r="R27" s="199">
        <f>+R16-R19+R24</f>
        <v>385519</v>
      </c>
      <c r="S27" s="199">
        <f>+S16-S19+S24</f>
        <v>277430</v>
      </c>
      <c r="T27" s="199">
        <f>+T16-T19+T24</f>
        <v>221277</v>
      </c>
      <c r="U27" s="199">
        <f>+'PL thuyết minh (ko trình)'!F$42</f>
        <v>3162425.333333333</v>
      </c>
    </row>
    <row r="28" spans="1:21" s="182" customFormat="1" ht="31.5">
      <c r="A28" s="200"/>
      <c r="B28" s="201" t="s">
        <v>25</v>
      </c>
      <c r="C28" s="202">
        <f aca="true" t="shared" si="3" ref="C28:H28">+C27/C15</f>
        <v>0.5314514117501292</v>
      </c>
      <c r="D28" s="202">
        <f t="shared" si="3"/>
        <v>0.9946881956772903</v>
      </c>
      <c r="E28" s="202">
        <f t="shared" si="3"/>
        <v>0.705701282077331</v>
      </c>
      <c r="F28" s="202">
        <f t="shared" si="3"/>
        <v>0.43123841816819775</v>
      </c>
      <c r="G28" s="202">
        <f t="shared" si="3"/>
        <v>0.35279249963386056</v>
      </c>
      <c r="H28" s="202">
        <f t="shared" si="3"/>
        <v>0.3497471272276887</v>
      </c>
      <c r="I28" s="203"/>
      <c r="J28" s="203"/>
      <c r="K28" s="203"/>
      <c r="L28" s="203"/>
      <c r="M28" s="203"/>
      <c r="N28" s="203"/>
      <c r="O28" s="202">
        <f aca="true" t="shared" si="4" ref="O28:U28">+O27/O15</f>
        <v>0.3845254151258067</v>
      </c>
      <c r="P28" s="202">
        <f t="shared" si="4"/>
        <v>0.7262375469657</v>
      </c>
      <c r="Q28" s="202">
        <f t="shared" si="4"/>
        <v>0.4964701997268759</v>
      </c>
      <c r="R28" s="202">
        <f t="shared" si="4"/>
        <v>0.36335513608039527</v>
      </c>
      <c r="S28" s="202">
        <f t="shared" si="4"/>
        <v>0.22652021576371026</v>
      </c>
      <c r="T28" s="202">
        <f t="shared" si="4"/>
        <v>0.18610157004302733</v>
      </c>
      <c r="U28" s="202">
        <f t="shared" si="4"/>
        <v>0.44108189913823925</v>
      </c>
    </row>
    <row r="29" spans="1:21" s="182" customFormat="1" ht="21.75" customHeight="1">
      <c r="A29" s="208"/>
      <c r="B29" s="209" t="s">
        <v>26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</row>
    <row r="30" spans="1:21" s="182" customFormat="1" ht="10.5" customHeight="1">
      <c r="A30" s="211"/>
      <c r="B30" s="212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</row>
    <row r="31" spans="1:21" s="182" customFormat="1" ht="21.75" customHeight="1">
      <c r="A31" s="211"/>
      <c r="B31" s="238" t="s">
        <v>37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13"/>
      <c r="R31" s="213"/>
      <c r="S31" s="213"/>
      <c r="T31" s="213"/>
      <c r="U31" s="213"/>
    </row>
    <row r="32" spans="1:21" s="182" customFormat="1" ht="30.75" customHeight="1">
      <c r="A32" s="211"/>
      <c r="B32" s="212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</row>
  </sheetData>
  <sheetProtection/>
  <mergeCells count="12">
    <mergeCell ref="B31:P31"/>
    <mergeCell ref="A7:A8"/>
    <mergeCell ref="B7:B8"/>
    <mergeCell ref="C7:C8"/>
    <mergeCell ref="U7:U8"/>
    <mergeCell ref="A5:U5"/>
    <mergeCell ref="A2:U2"/>
    <mergeCell ref="A3:U3"/>
    <mergeCell ref="A4:U4"/>
    <mergeCell ref="D7:H7"/>
    <mergeCell ref="I7:N7"/>
    <mergeCell ref="O7:T7"/>
  </mergeCells>
  <printOptions horizontalCentered="1"/>
  <pageMargins left="0.3145833333333333" right="0.16" top="0.31" bottom="0.2" header="0.22" footer="0.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Z21"/>
  <sheetViews>
    <sheetView zoomScale="70" zoomScaleNormal="70" zoomScalePageLayoutView="0" workbookViewId="0" topLeftCell="A1">
      <selection activeCell="BC9" sqref="BC9"/>
    </sheetView>
  </sheetViews>
  <sheetFormatPr defaultColWidth="8.75390625" defaultRowHeight="15.75"/>
  <cols>
    <col min="1" max="1" width="4.625" style="98" customWidth="1"/>
    <col min="2" max="2" width="43.375" style="99" customWidth="1"/>
    <col min="3" max="3" width="15.375" style="98" customWidth="1"/>
    <col min="4" max="4" width="16.875" style="98" customWidth="1"/>
    <col min="5" max="7" width="11.00390625" style="98" customWidth="1"/>
    <col min="8" max="8" width="11.00390625" style="98" hidden="1" customWidth="1"/>
    <col min="9" max="9" width="10.125" style="98" customWidth="1"/>
    <col min="10" max="10" width="9.125" style="100" customWidth="1"/>
    <col min="11" max="11" width="9.125" style="98" customWidth="1"/>
    <col min="12" max="13" width="11.00390625" style="98" customWidth="1"/>
    <col min="14" max="14" width="9.875" style="98" customWidth="1"/>
    <col min="15" max="15" width="11.00390625" style="98" customWidth="1"/>
    <col min="16" max="17" width="8.625" style="101" hidden="1" customWidth="1"/>
    <col min="18" max="18" width="9.125" style="101" hidden="1" customWidth="1"/>
    <col min="19" max="20" width="8.25390625" style="101" hidden="1" customWidth="1"/>
    <col min="21" max="22" width="9.50390625" style="101" hidden="1" customWidth="1"/>
    <col min="23" max="23" width="9.125" style="101" hidden="1" customWidth="1"/>
    <col min="24" max="24" width="10.50390625" style="101" hidden="1" customWidth="1"/>
    <col min="25" max="25" width="10.125" style="101" hidden="1" customWidth="1"/>
    <col min="26" max="26" width="11.00390625" style="98" customWidth="1"/>
    <col min="27" max="28" width="11.50390625" style="98" customWidth="1"/>
    <col min="29" max="29" width="12.625" style="98" hidden="1" customWidth="1"/>
    <col min="30" max="32" width="12.00390625" style="98" hidden="1" customWidth="1"/>
    <col min="33" max="33" width="11.125" style="102" hidden="1" customWidth="1"/>
    <col min="34" max="34" width="11.625" style="102" hidden="1" customWidth="1"/>
    <col min="35" max="35" width="11.25390625" style="102" hidden="1" customWidth="1"/>
    <col min="36" max="36" width="10.50390625" style="102" hidden="1" customWidth="1"/>
    <col min="37" max="37" width="12.375" style="102" hidden="1" customWidth="1"/>
    <col min="38" max="38" width="11.125" style="102" hidden="1" customWidth="1"/>
    <col min="39" max="39" width="11.625" style="102" hidden="1" customWidth="1"/>
    <col min="40" max="40" width="11.375" style="102" hidden="1" customWidth="1"/>
    <col min="41" max="41" width="12.625" style="102" hidden="1" customWidth="1"/>
    <col min="42" max="42" width="11.125" style="102" hidden="1" customWidth="1"/>
    <col min="43" max="43" width="11.50390625" style="102" hidden="1" customWidth="1"/>
    <col min="44" max="44" width="11.375" style="102" hidden="1" customWidth="1"/>
    <col min="45" max="45" width="9.50390625" style="102" hidden="1" customWidth="1"/>
    <col min="46" max="46" width="10.875" style="102" hidden="1" customWidth="1"/>
    <col min="47" max="47" width="11.50390625" style="102" hidden="1" customWidth="1"/>
    <col min="48" max="48" width="11.00390625" style="102" hidden="1" customWidth="1"/>
    <col min="49" max="49" width="8.125" style="102" hidden="1" customWidth="1"/>
    <col min="50" max="50" width="9.875" style="102" hidden="1" customWidth="1"/>
    <col min="51" max="51" width="10.625" style="102" hidden="1" customWidth="1"/>
    <col min="52" max="52" width="10.875" style="102" hidden="1" customWidth="1"/>
    <col min="53" max="53" width="9.00390625" style="102" customWidth="1"/>
    <col min="54" max="63" width="9.00390625" style="102" bestFit="1" customWidth="1"/>
    <col min="64" max="16384" width="8.75390625" style="102" customWidth="1"/>
  </cols>
  <sheetData>
    <row r="1" spans="1:52" ht="25.5" customHeight="1">
      <c r="A1" s="241" t="s">
        <v>38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</row>
    <row r="2" spans="1:52" ht="25.5" customHeight="1">
      <c r="A2" s="243" t="s">
        <v>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</row>
    <row r="3" spans="1:52" ht="25.5" customHeight="1">
      <c r="A3" s="245" t="str">
        <f>+'KH nợ vay 5 năm'!A5:U5</f>
        <v>(Kèm theo Tờ trình số 735/TTr-UBND ngày  24   tháng 11 năm 2020 của Ủy ban nhân dân tỉnh An Giang)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</row>
    <row r="4" spans="1:52" ht="25.5" customHeight="1" hidden="1">
      <c r="A4" s="263" t="s">
        <v>187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</row>
    <row r="5" spans="16:52" ht="24" customHeight="1">
      <c r="P5" s="126"/>
      <c r="Q5" s="126"/>
      <c r="R5" s="126"/>
      <c r="S5" s="126"/>
      <c r="W5" s="150"/>
      <c r="Z5" s="248" t="s">
        <v>2</v>
      </c>
      <c r="AA5" s="248"/>
      <c r="AB5" s="248"/>
      <c r="AX5" s="249" t="s">
        <v>40</v>
      </c>
      <c r="AY5" s="249"/>
      <c r="AZ5" s="249"/>
    </row>
    <row r="6" spans="1:52" ht="52.5" customHeight="1">
      <c r="A6" s="259" t="s">
        <v>41</v>
      </c>
      <c r="B6" s="250" t="s">
        <v>42</v>
      </c>
      <c r="C6" s="250" t="s">
        <v>43</v>
      </c>
      <c r="D6" s="250" t="s">
        <v>44</v>
      </c>
      <c r="E6" s="250" t="s">
        <v>45</v>
      </c>
      <c r="F6" s="250"/>
      <c r="G6" s="250"/>
      <c r="H6" s="250" t="s">
        <v>46</v>
      </c>
      <c r="I6" s="250" t="s">
        <v>47</v>
      </c>
      <c r="J6" s="250" t="s">
        <v>48</v>
      </c>
      <c r="K6" s="250"/>
      <c r="L6" s="251" t="s">
        <v>49</v>
      </c>
      <c r="M6" s="252"/>
      <c r="N6" s="252"/>
      <c r="O6" s="250" t="s">
        <v>50</v>
      </c>
      <c r="P6" s="253" t="s">
        <v>9</v>
      </c>
      <c r="Q6" s="253"/>
      <c r="R6" s="253" t="s">
        <v>10</v>
      </c>
      <c r="S6" s="253"/>
      <c r="T6" s="253"/>
      <c r="U6" s="253" t="s">
        <v>11</v>
      </c>
      <c r="V6" s="253"/>
      <c r="W6" s="253"/>
      <c r="X6" s="253" t="s">
        <v>51</v>
      </c>
      <c r="Y6" s="253" t="s">
        <v>52</v>
      </c>
      <c r="Z6" s="250" t="s">
        <v>53</v>
      </c>
      <c r="AA6" s="250" t="s">
        <v>54</v>
      </c>
      <c r="AB6" s="250"/>
      <c r="AC6" s="250" t="s">
        <v>55</v>
      </c>
      <c r="AD6" s="250"/>
      <c r="AE6" s="250"/>
      <c r="AF6" s="250"/>
      <c r="AG6" s="250" t="s">
        <v>56</v>
      </c>
      <c r="AH6" s="250"/>
      <c r="AI6" s="250"/>
      <c r="AJ6" s="250"/>
      <c r="AK6" s="250" t="s">
        <v>57</v>
      </c>
      <c r="AL6" s="250"/>
      <c r="AM6" s="250"/>
      <c r="AN6" s="250"/>
      <c r="AO6" s="250" t="s">
        <v>58</v>
      </c>
      <c r="AP6" s="250"/>
      <c r="AQ6" s="250"/>
      <c r="AR6" s="250"/>
      <c r="AS6" s="250" t="s">
        <v>59</v>
      </c>
      <c r="AT6" s="250"/>
      <c r="AU6" s="250"/>
      <c r="AV6" s="250"/>
      <c r="AW6" s="250" t="s">
        <v>60</v>
      </c>
      <c r="AX6" s="250"/>
      <c r="AY6" s="250"/>
      <c r="AZ6" s="250"/>
    </row>
    <row r="7" spans="1:52" ht="34.5" customHeight="1">
      <c r="A7" s="259"/>
      <c r="B7" s="250"/>
      <c r="C7" s="250"/>
      <c r="D7" s="250"/>
      <c r="E7" s="250" t="s">
        <v>61</v>
      </c>
      <c r="F7" s="250" t="s">
        <v>62</v>
      </c>
      <c r="G7" s="250"/>
      <c r="H7" s="250"/>
      <c r="I7" s="250"/>
      <c r="J7" s="250" t="s">
        <v>63</v>
      </c>
      <c r="K7" s="250" t="s">
        <v>64</v>
      </c>
      <c r="L7" s="257" t="s">
        <v>65</v>
      </c>
      <c r="M7" s="257" t="s">
        <v>66</v>
      </c>
      <c r="N7" s="260" t="s">
        <v>67</v>
      </c>
      <c r="O7" s="250"/>
      <c r="P7" s="253" t="s">
        <v>68</v>
      </c>
      <c r="Q7" s="253" t="s">
        <v>69</v>
      </c>
      <c r="R7" s="253" t="s">
        <v>70</v>
      </c>
      <c r="S7" s="253" t="s">
        <v>71</v>
      </c>
      <c r="T7" s="253" t="s">
        <v>72</v>
      </c>
      <c r="U7" s="253" t="s">
        <v>73</v>
      </c>
      <c r="V7" s="253" t="s">
        <v>74</v>
      </c>
      <c r="W7" s="253" t="s">
        <v>75</v>
      </c>
      <c r="X7" s="253"/>
      <c r="Y7" s="253"/>
      <c r="Z7" s="250"/>
      <c r="AA7" s="250" t="s">
        <v>7</v>
      </c>
      <c r="AB7" s="250" t="s">
        <v>72</v>
      </c>
      <c r="AC7" s="250" t="s">
        <v>76</v>
      </c>
      <c r="AD7" s="250" t="s">
        <v>77</v>
      </c>
      <c r="AE7" s="250"/>
      <c r="AF7" s="250"/>
      <c r="AG7" s="250" t="s">
        <v>78</v>
      </c>
      <c r="AH7" s="251" t="s">
        <v>79</v>
      </c>
      <c r="AI7" s="252"/>
      <c r="AJ7" s="256"/>
      <c r="AK7" s="250" t="s">
        <v>80</v>
      </c>
      <c r="AL7" s="251" t="s">
        <v>79</v>
      </c>
      <c r="AM7" s="252"/>
      <c r="AN7" s="256"/>
      <c r="AO7" s="250" t="s">
        <v>81</v>
      </c>
      <c r="AP7" s="251" t="s">
        <v>79</v>
      </c>
      <c r="AQ7" s="252"/>
      <c r="AR7" s="256"/>
      <c r="AS7" s="250" t="s">
        <v>82</v>
      </c>
      <c r="AT7" s="251" t="s">
        <v>79</v>
      </c>
      <c r="AU7" s="252"/>
      <c r="AV7" s="256"/>
      <c r="AW7" s="250" t="s">
        <v>83</v>
      </c>
      <c r="AX7" s="251" t="s">
        <v>79</v>
      </c>
      <c r="AY7" s="252"/>
      <c r="AZ7" s="256"/>
    </row>
    <row r="8" spans="1:52" ht="30.75" customHeight="1">
      <c r="A8" s="259"/>
      <c r="B8" s="250"/>
      <c r="C8" s="250"/>
      <c r="D8" s="250"/>
      <c r="E8" s="250"/>
      <c r="F8" s="250" t="s">
        <v>84</v>
      </c>
      <c r="G8" s="250" t="s">
        <v>85</v>
      </c>
      <c r="H8" s="250"/>
      <c r="I8" s="250"/>
      <c r="J8" s="250"/>
      <c r="K8" s="250"/>
      <c r="L8" s="250"/>
      <c r="M8" s="250"/>
      <c r="N8" s="261"/>
      <c r="O8" s="250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0"/>
      <c r="AA8" s="250"/>
      <c r="AB8" s="250"/>
      <c r="AC8" s="250"/>
      <c r="AD8" s="250" t="s">
        <v>86</v>
      </c>
      <c r="AE8" s="250" t="s">
        <v>62</v>
      </c>
      <c r="AF8" s="250"/>
      <c r="AG8" s="250"/>
      <c r="AH8" s="258" t="s">
        <v>86</v>
      </c>
      <c r="AI8" s="251" t="s">
        <v>62</v>
      </c>
      <c r="AJ8" s="256"/>
      <c r="AK8" s="250"/>
      <c r="AL8" s="258" t="s">
        <v>86</v>
      </c>
      <c r="AM8" s="254" t="s">
        <v>62</v>
      </c>
      <c r="AN8" s="255"/>
      <c r="AO8" s="250"/>
      <c r="AP8" s="258" t="s">
        <v>86</v>
      </c>
      <c r="AQ8" s="254" t="s">
        <v>62</v>
      </c>
      <c r="AR8" s="255"/>
      <c r="AS8" s="250"/>
      <c r="AT8" s="258" t="s">
        <v>86</v>
      </c>
      <c r="AU8" s="254" t="s">
        <v>62</v>
      </c>
      <c r="AV8" s="255"/>
      <c r="AW8" s="250"/>
      <c r="AX8" s="258" t="s">
        <v>86</v>
      </c>
      <c r="AY8" s="254" t="s">
        <v>62</v>
      </c>
      <c r="AZ8" s="255"/>
    </row>
    <row r="9" spans="1:52" ht="79.5" customHeight="1">
      <c r="A9" s="25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62"/>
      <c r="O9" s="250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0"/>
      <c r="AA9" s="250"/>
      <c r="AB9" s="250"/>
      <c r="AC9" s="250"/>
      <c r="AD9" s="250"/>
      <c r="AE9" s="103" t="s">
        <v>87</v>
      </c>
      <c r="AF9" s="103" t="s">
        <v>72</v>
      </c>
      <c r="AG9" s="250"/>
      <c r="AH9" s="257"/>
      <c r="AI9" s="103" t="s">
        <v>87</v>
      </c>
      <c r="AJ9" s="103" t="s">
        <v>72</v>
      </c>
      <c r="AK9" s="250"/>
      <c r="AL9" s="257"/>
      <c r="AM9" s="103" t="s">
        <v>87</v>
      </c>
      <c r="AN9" s="103" t="s">
        <v>72</v>
      </c>
      <c r="AO9" s="250"/>
      <c r="AP9" s="257"/>
      <c r="AQ9" s="103" t="s">
        <v>87</v>
      </c>
      <c r="AR9" s="103" t="s">
        <v>72</v>
      </c>
      <c r="AS9" s="250"/>
      <c r="AT9" s="257"/>
      <c r="AU9" s="103" t="s">
        <v>87</v>
      </c>
      <c r="AV9" s="103" t="s">
        <v>72</v>
      </c>
      <c r="AW9" s="250"/>
      <c r="AX9" s="257"/>
      <c r="AY9" s="103" t="s">
        <v>87</v>
      </c>
      <c r="AZ9" s="103" t="s">
        <v>72</v>
      </c>
    </row>
    <row r="10" spans="1:52" s="93" customFormat="1" ht="25.5" customHeight="1">
      <c r="A10" s="104">
        <v>1</v>
      </c>
      <c r="B10" s="104">
        <v>2</v>
      </c>
      <c r="C10" s="104">
        <v>3</v>
      </c>
      <c r="D10" s="104">
        <v>4</v>
      </c>
      <c r="E10" s="104">
        <v>5</v>
      </c>
      <c r="F10" s="104">
        <v>6</v>
      </c>
      <c r="G10" s="104">
        <v>7</v>
      </c>
      <c r="H10" s="104"/>
      <c r="I10" s="104">
        <v>8</v>
      </c>
      <c r="J10" s="104">
        <v>9</v>
      </c>
      <c r="K10" s="104">
        <v>10</v>
      </c>
      <c r="L10" s="127">
        <v>11</v>
      </c>
      <c r="M10" s="127">
        <v>12</v>
      </c>
      <c r="N10" s="127">
        <v>13</v>
      </c>
      <c r="O10" s="127">
        <v>14</v>
      </c>
      <c r="P10" s="128">
        <v>16</v>
      </c>
      <c r="Q10" s="128">
        <v>17</v>
      </c>
      <c r="R10" s="128">
        <v>14</v>
      </c>
      <c r="S10" s="128">
        <v>15</v>
      </c>
      <c r="T10" s="128">
        <v>16</v>
      </c>
      <c r="U10" s="128">
        <v>16</v>
      </c>
      <c r="V10" s="128">
        <v>17</v>
      </c>
      <c r="W10" s="128"/>
      <c r="X10" s="128">
        <v>7</v>
      </c>
      <c r="Y10" s="128">
        <v>14</v>
      </c>
      <c r="Z10" s="127">
        <v>15</v>
      </c>
      <c r="AA10" s="127">
        <v>16</v>
      </c>
      <c r="AB10" s="127">
        <v>17</v>
      </c>
      <c r="AC10" s="127">
        <v>17</v>
      </c>
      <c r="AD10" s="127">
        <v>18</v>
      </c>
      <c r="AE10" s="127">
        <v>19</v>
      </c>
      <c r="AF10" s="127">
        <v>20</v>
      </c>
      <c r="AG10" s="127">
        <v>14</v>
      </c>
      <c r="AH10" s="127">
        <v>15</v>
      </c>
      <c r="AI10" s="127">
        <v>16</v>
      </c>
      <c r="AJ10" s="127">
        <v>17</v>
      </c>
      <c r="AK10" s="127">
        <v>18</v>
      </c>
      <c r="AL10" s="127">
        <v>19</v>
      </c>
      <c r="AM10" s="127">
        <v>20</v>
      </c>
      <c r="AN10" s="127">
        <v>21</v>
      </c>
      <c r="AO10" s="127">
        <v>22</v>
      </c>
      <c r="AP10" s="127">
        <v>23</v>
      </c>
      <c r="AQ10" s="127">
        <v>24</v>
      </c>
      <c r="AR10" s="127">
        <v>25</v>
      </c>
      <c r="AS10" s="127">
        <v>26</v>
      </c>
      <c r="AT10" s="127">
        <v>27</v>
      </c>
      <c r="AU10" s="127">
        <v>28</v>
      </c>
      <c r="AV10" s="127">
        <v>29</v>
      </c>
      <c r="AW10" s="127">
        <v>30</v>
      </c>
      <c r="AX10" s="127">
        <v>31</v>
      </c>
      <c r="AY10" s="127">
        <v>32</v>
      </c>
      <c r="AZ10" s="127">
        <v>33</v>
      </c>
    </row>
    <row r="11" spans="1:52" s="94" customFormat="1" ht="39.75" customHeight="1">
      <c r="A11" s="231"/>
      <c r="B11" s="231" t="s">
        <v>88</v>
      </c>
      <c r="C11" s="231"/>
      <c r="D11" s="231"/>
      <c r="E11" s="163">
        <f>+E12+E13+E14+E15+E18</f>
        <v>2837024.8824</v>
      </c>
      <c r="F11" s="163">
        <f>+F12+F13+F14+F15+F18</f>
        <v>639450.8824</v>
      </c>
      <c r="G11" s="163">
        <f>+G12+G13+G14+G15+G18</f>
        <v>2197574</v>
      </c>
      <c r="H11" s="163">
        <f>+H12+H13+H14+H15</f>
        <v>42677</v>
      </c>
      <c r="I11" s="163"/>
      <c r="J11" s="163"/>
      <c r="K11" s="163"/>
      <c r="L11" s="163">
        <f>+L12+L13+L14+L15+L18</f>
        <v>1413129.89372</v>
      </c>
      <c r="M11" s="163">
        <f>+M12+M13+M14+M15+M18</f>
        <v>784444.1100399999</v>
      </c>
      <c r="N11" s="163"/>
      <c r="O11" s="163">
        <f aca="true" t="shared" si="0" ref="O11:AB11">+O12+O13+O14+O15+O18</f>
        <v>784444.1100399999</v>
      </c>
      <c r="P11" s="163">
        <f t="shared" si="0"/>
        <v>9880</v>
      </c>
      <c r="Q11" s="163">
        <f t="shared" si="0"/>
        <v>0</v>
      </c>
      <c r="R11" s="163">
        <f t="shared" si="0"/>
        <v>69200</v>
      </c>
      <c r="S11" s="163">
        <f t="shared" si="0"/>
        <v>5969.125</v>
      </c>
      <c r="T11" s="163">
        <f t="shared" si="0"/>
        <v>119.38250000000001</v>
      </c>
      <c r="U11" s="163">
        <f t="shared" si="0"/>
        <v>101500</v>
      </c>
      <c r="V11" s="163">
        <f t="shared" si="0"/>
        <v>10830</v>
      </c>
      <c r="W11" s="163">
        <f t="shared" si="0"/>
        <v>2149.3825</v>
      </c>
      <c r="X11" s="163">
        <f t="shared" si="0"/>
        <v>212500</v>
      </c>
      <c r="Y11" s="163">
        <f t="shared" si="0"/>
        <v>1.5499999999999998</v>
      </c>
      <c r="Z11" s="163">
        <f t="shared" si="0"/>
        <v>99526</v>
      </c>
      <c r="AA11" s="163">
        <f t="shared" si="0"/>
        <v>684033</v>
      </c>
      <c r="AB11" s="163">
        <f t="shared" si="0"/>
        <v>153970</v>
      </c>
      <c r="AC11" s="105">
        <f>+AC12+AC13+AC14+AC15+AC18</f>
        <v>684033</v>
      </c>
      <c r="AD11" s="105">
        <f>+AD12+AD13+AD14+AD15+AD18</f>
        <v>211142</v>
      </c>
      <c r="AE11" s="105">
        <f>+AE12+AE13+AE14+AE15+AE18</f>
        <v>57172</v>
      </c>
      <c r="AF11" s="105">
        <f>+AF12+AF13+AF14+AF15+AF18</f>
        <v>153970</v>
      </c>
      <c r="AG11" s="163">
        <f aca="true" t="shared" si="1" ref="AG11:AZ11">+AG12+AG13+AG14+AG15+AG18</f>
        <v>204799.66666666666</v>
      </c>
      <c r="AH11" s="163">
        <f t="shared" si="1"/>
        <v>16700</v>
      </c>
      <c r="AI11" s="163">
        <f t="shared" si="1"/>
        <v>1300</v>
      </c>
      <c r="AJ11" s="163">
        <f t="shared" si="1"/>
        <v>15400</v>
      </c>
      <c r="AK11" s="163">
        <f t="shared" si="1"/>
        <v>281989</v>
      </c>
      <c r="AL11" s="163">
        <f t="shared" si="1"/>
        <v>35461</v>
      </c>
      <c r="AM11" s="163">
        <f t="shared" si="1"/>
        <v>11468</v>
      </c>
      <c r="AN11" s="163">
        <f t="shared" si="1"/>
        <v>23993</v>
      </c>
      <c r="AO11" s="163">
        <f t="shared" si="1"/>
        <v>197244.3333333333</v>
      </c>
      <c r="AP11" s="163">
        <f t="shared" si="1"/>
        <v>51038</v>
      </c>
      <c r="AQ11" s="163">
        <f t="shared" si="1"/>
        <v>11468</v>
      </c>
      <c r="AR11" s="163">
        <f t="shared" si="1"/>
        <v>39570</v>
      </c>
      <c r="AS11" s="163">
        <f t="shared" si="1"/>
        <v>0</v>
      </c>
      <c r="AT11" s="163">
        <f t="shared" si="1"/>
        <v>54000</v>
      </c>
      <c r="AU11" s="163">
        <f t="shared" si="1"/>
        <v>16468</v>
      </c>
      <c r="AV11" s="163">
        <f t="shared" si="1"/>
        <v>37532</v>
      </c>
      <c r="AW11" s="163">
        <f t="shared" si="1"/>
        <v>0</v>
      </c>
      <c r="AX11" s="163">
        <f t="shared" si="1"/>
        <v>53943</v>
      </c>
      <c r="AY11" s="163">
        <f t="shared" si="1"/>
        <v>16468</v>
      </c>
      <c r="AZ11" s="163">
        <f t="shared" si="1"/>
        <v>37475</v>
      </c>
    </row>
    <row r="12" spans="1:52" s="95" customFormat="1" ht="111" customHeight="1">
      <c r="A12" s="220">
        <v>1</v>
      </c>
      <c r="B12" s="221" t="s">
        <v>89</v>
      </c>
      <c r="C12" s="220" t="s">
        <v>90</v>
      </c>
      <c r="D12" s="220" t="s">
        <v>184</v>
      </c>
      <c r="E12" s="222">
        <v>323714</v>
      </c>
      <c r="F12" s="222">
        <v>65572</v>
      </c>
      <c r="G12" s="222">
        <v>258142</v>
      </c>
      <c r="H12" s="223" t="s">
        <v>91</v>
      </c>
      <c r="I12" s="224" t="s">
        <v>92</v>
      </c>
      <c r="J12" s="225">
        <v>11.55</v>
      </c>
      <c r="K12" s="224" t="s">
        <v>93</v>
      </c>
      <c r="L12" s="226">
        <f>232328</f>
        <v>232328</v>
      </c>
      <c r="M12" s="226">
        <v>25814</v>
      </c>
      <c r="N12" s="227">
        <v>0.02</v>
      </c>
      <c r="O12" s="226">
        <v>25814</v>
      </c>
      <c r="P12" s="228">
        <v>8000</v>
      </c>
      <c r="Q12" s="228">
        <v>0</v>
      </c>
      <c r="R12" s="228">
        <v>25814</v>
      </c>
      <c r="S12" s="228">
        <v>5969.125</v>
      </c>
      <c r="T12" s="229">
        <f>+S12*N12</f>
        <v>119.38250000000001</v>
      </c>
      <c r="U12" s="229">
        <v>19814</v>
      </c>
      <c r="V12" s="229">
        <v>10830</v>
      </c>
      <c r="W12" s="229">
        <f>(S12+U12)*N12</f>
        <v>515.6625</v>
      </c>
      <c r="X12" s="228">
        <v>9004</v>
      </c>
      <c r="Y12" s="230">
        <v>0.1</v>
      </c>
      <c r="Z12" s="226">
        <v>24929</v>
      </c>
      <c r="AA12" s="226">
        <f aca="true" t="shared" si="2" ref="AA12:AA18">+AC12</f>
        <v>0</v>
      </c>
      <c r="AB12" s="226">
        <f aca="true" t="shared" si="3" ref="AB12:AB18">+AF12</f>
        <v>2329</v>
      </c>
      <c r="AC12" s="155">
        <f aca="true" t="shared" si="4" ref="AC12:AC18">AG12+AK12+AO12+AS12+AW12</f>
        <v>0</v>
      </c>
      <c r="AD12" s="155">
        <f aca="true" t="shared" si="5" ref="AD12:AD18">AE12+AF12</f>
        <v>8829</v>
      </c>
      <c r="AE12" s="155">
        <f aca="true" t="shared" si="6" ref="AE12:AF18">AI12+AM12+AQ12+AU12+AY12</f>
        <v>6500</v>
      </c>
      <c r="AF12" s="155">
        <f t="shared" si="6"/>
        <v>2329</v>
      </c>
      <c r="AG12" s="164">
        <v>0</v>
      </c>
      <c r="AH12" s="164">
        <f aca="true" t="shared" si="7" ref="AH12:AH18">AI12+AJ12</f>
        <v>1820</v>
      </c>
      <c r="AI12" s="164">
        <v>1300</v>
      </c>
      <c r="AJ12" s="165">
        <v>520</v>
      </c>
      <c r="AK12" s="164"/>
      <c r="AL12" s="164">
        <f aca="true" t="shared" si="8" ref="AL12:AL18">AM12+AN12</f>
        <v>1785</v>
      </c>
      <c r="AM12" s="164">
        <v>1300</v>
      </c>
      <c r="AN12" s="165">
        <v>485</v>
      </c>
      <c r="AO12" s="164">
        <v>0</v>
      </c>
      <c r="AP12" s="164">
        <f>AQ12+AR12</f>
        <v>1759</v>
      </c>
      <c r="AQ12" s="164">
        <v>1300</v>
      </c>
      <c r="AR12" s="165">
        <v>459</v>
      </c>
      <c r="AS12" s="164">
        <v>0</v>
      </c>
      <c r="AT12" s="164">
        <f aca="true" t="shared" si="9" ref="AT12:AT18">AU12+AV12</f>
        <v>1735</v>
      </c>
      <c r="AU12" s="164">
        <v>1300</v>
      </c>
      <c r="AV12" s="165">
        <v>435</v>
      </c>
      <c r="AW12" s="165"/>
      <c r="AX12" s="172">
        <f aca="true" t="shared" si="10" ref="AX12:AX18">AY12+AZ12</f>
        <v>1730</v>
      </c>
      <c r="AY12" s="172">
        <v>1300</v>
      </c>
      <c r="AZ12" s="173">
        <v>430</v>
      </c>
    </row>
    <row r="13" spans="1:52" s="95" customFormat="1" ht="80.25" customHeight="1">
      <c r="A13" s="106">
        <v>2</v>
      </c>
      <c r="B13" s="107" t="s">
        <v>94</v>
      </c>
      <c r="C13" s="106" t="s">
        <v>95</v>
      </c>
      <c r="D13" s="217" t="s">
        <v>96</v>
      </c>
      <c r="E13" s="108">
        <f>SUM(F13:G13)</f>
        <v>134468</v>
      </c>
      <c r="F13" s="110">
        <v>21222</v>
      </c>
      <c r="G13" s="108">
        <v>113246</v>
      </c>
      <c r="H13" s="109"/>
      <c r="I13" s="129" t="s">
        <v>97</v>
      </c>
      <c r="J13" s="130">
        <v>5.16</v>
      </c>
      <c r="K13" s="129" t="s">
        <v>93</v>
      </c>
      <c r="L13" s="131">
        <f>113246-M13</f>
        <v>79272.20000000001</v>
      </c>
      <c r="M13" s="131">
        <f>G13*30%</f>
        <v>33973.799999999996</v>
      </c>
      <c r="N13" s="132">
        <v>0.02</v>
      </c>
      <c r="O13" s="131">
        <v>33973.799999999996</v>
      </c>
      <c r="P13" s="133">
        <v>1880</v>
      </c>
      <c r="Q13" s="133">
        <v>0</v>
      </c>
      <c r="R13" s="133">
        <v>1880</v>
      </c>
      <c r="S13" s="151">
        <v>0</v>
      </c>
      <c r="T13" s="151">
        <f>+S13*N13</f>
        <v>0</v>
      </c>
      <c r="U13" s="151">
        <v>7503</v>
      </c>
      <c r="V13" s="151">
        <v>0</v>
      </c>
      <c r="W13" s="151">
        <f>(S13+U13)*N13</f>
        <v>150.06</v>
      </c>
      <c r="X13" s="151">
        <v>22104</v>
      </c>
      <c r="Y13" s="156">
        <v>0.3</v>
      </c>
      <c r="Z13" s="155">
        <v>10554</v>
      </c>
      <c r="AA13" s="155">
        <f t="shared" si="2"/>
        <v>23420</v>
      </c>
      <c r="AB13" s="155">
        <f t="shared" si="3"/>
        <v>3870</v>
      </c>
      <c r="AC13" s="155">
        <f t="shared" si="4"/>
        <v>23420</v>
      </c>
      <c r="AD13" s="155">
        <f t="shared" si="5"/>
        <v>11310</v>
      </c>
      <c r="AE13" s="155">
        <f t="shared" si="6"/>
        <v>7440</v>
      </c>
      <c r="AF13" s="155">
        <f t="shared" si="6"/>
        <v>3870</v>
      </c>
      <c r="AG13" s="164">
        <v>19224</v>
      </c>
      <c r="AH13" s="164">
        <f t="shared" si="7"/>
        <v>732</v>
      </c>
      <c r="AI13" s="164">
        <v>0</v>
      </c>
      <c r="AJ13" s="165">
        <v>732</v>
      </c>
      <c r="AK13" s="164">
        <v>4196</v>
      </c>
      <c r="AL13" s="164">
        <f t="shared" si="8"/>
        <v>2700</v>
      </c>
      <c r="AM13" s="164">
        <v>1860</v>
      </c>
      <c r="AN13" s="165">
        <v>840</v>
      </c>
      <c r="AO13" s="164">
        <v>0</v>
      </c>
      <c r="AP13" s="164">
        <f>AQ13+AR13</f>
        <v>2655</v>
      </c>
      <c r="AQ13" s="164">
        <v>1860</v>
      </c>
      <c r="AR13" s="165">
        <v>795</v>
      </c>
      <c r="AS13" s="164">
        <v>0</v>
      </c>
      <c r="AT13" s="164">
        <f t="shared" si="9"/>
        <v>2613</v>
      </c>
      <c r="AU13" s="164">
        <v>1860</v>
      </c>
      <c r="AV13" s="165">
        <v>753</v>
      </c>
      <c r="AW13" s="165"/>
      <c r="AX13" s="172">
        <f t="shared" si="10"/>
        <v>2610</v>
      </c>
      <c r="AY13" s="172">
        <v>1860</v>
      </c>
      <c r="AZ13" s="173">
        <v>750</v>
      </c>
    </row>
    <row r="14" spans="1:52" s="96" customFormat="1" ht="97.5" customHeight="1">
      <c r="A14" s="106">
        <v>3</v>
      </c>
      <c r="B14" s="107" t="s">
        <v>98</v>
      </c>
      <c r="C14" s="106" t="s">
        <v>99</v>
      </c>
      <c r="D14" s="217" t="s">
        <v>100</v>
      </c>
      <c r="E14" s="108">
        <f>SUM(F14:G14)</f>
        <v>651515</v>
      </c>
      <c r="F14" s="110">
        <v>137334</v>
      </c>
      <c r="G14" s="108">
        <v>514181</v>
      </c>
      <c r="H14" s="109"/>
      <c r="I14" s="129" t="s">
        <v>97</v>
      </c>
      <c r="J14" s="130">
        <v>29.242145</v>
      </c>
      <c r="K14" s="129" t="s">
        <v>93</v>
      </c>
      <c r="L14" s="131">
        <f>16.154699*22280</f>
        <v>359926.69372000004</v>
      </c>
      <c r="M14" s="110">
        <f>6.923443*22280</f>
        <v>154254.31003999998</v>
      </c>
      <c r="N14" s="132">
        <v>0.02</v>
      </c>
      <c r="O14" s="110">
        <v>154254.31003999998</v>
      </c>
      <c r="P14" s="133"/>
      <c r="Q14" s="133"/>
      <c r="R14" s="133">
        <v>25714</v>
      </c>
      <c r="S14" s="133">
        <v>0</v>
      </c>
      <c r="T14" s="133"/>
      <c r="U14" s="133">
        <v>37703</v>
      </c>
      <c r="V14" s="133">
        <v>0</v>
      </c>
      <c r="W14" s="151">
        <f>(S14+U14)*N14</f>
        <v>754.0600000000001</v>
      </c>
      <c r="X14" s="133">
        <v>64813</v>
      </c>
      <c r="Y14" s="154">
        <v>0.3</v>
      </c>
      <c r="Z14" s="157">
        <v>39228</v>
      </c>
      <c r="AA14" s="157">
        <f t="shared" si="2"/>
        <v>115026</v>
      </c>
      <c r="AB14" s="157">
        <f t="shared" si="3"/>
        <v>18092</v>
      </c>
      <c r="AC14" s="155">
        <f t="shared" si="4"/>
        <v>115026</v>
      </c>
      <c r="AD14" s="155">
        <f t="shared" si="5"/>
        <v>51324</v>
      </c>
      <c r="AE14" s="155">
        <f t="shared" si="6"/>
        <v>33232</v>
      </c>
      <c r="AF14" s="155">
        <f t="shared" si="6"/>
        <v>18092</v>
      </c>
      <c r="AG14" s="164">
        <v>50658</v>
      </c>
      <c r="AH14" s="164">
        <f t="shared" si="7"/>
        <v>2669</v>
      </c>
      <c r="AI14" s="164">
        <v>0</v>
      </c>
      <c r="AJ14" s="164">
        <v>2669</v>
      </c>
      <c r="AK14" s="164">
        <v>64368</v>
      </c>
      <c r="AL14" s="164">
        <f t="shared" si="8"/>
        <v>11631</v>
      </c>
      <c r="AM14" s="164">
        <v>8308</v>
      </c>
      <c r="AN14" s="164">
        <v>3323</v>
      </c>
      <c r="AO14" s="164">
        <v>0</v>
      </c>
      <c r="AP14" s="164">
        <f>AQ14+AR14</f>
        <v>13528</v>
      </c>
      <c r="AQ14" s="164">
        <v>8308</v>
      </c>
      <c r="AR14" s="164">
        <v>5220</v>
      </c>
      <c r="AS14" s="164">
        <v>0</v>
      </c>
      <c r="AT14" s="164">
        <f t="shared" si="9"/>
        <v>11788</v>
      </c>
      <c r="AU14" s="164">
        <v>8308</v>
      </c>
      <c r="AV14" s="164">
        <v>3480</v>
      </c>
      <c r="AW14" s="165"/>
      <c r="AX14" s="172">
        <f t="shared" si="10"/>
        <v>11708</v>
      </c>
      <c r="AY14" s="172">
        <v>8308</v>
      </c>
      <c r="AZ14" s="172">
        <v>3400</v>
      </c>
    </row>
    <row r="15" spans="1:52" s="96" customFormat="1" ht="66.75" customHeight="1">
      <c r="A15" s="106">
        <v>4</v>
      </c>
      <c r="B15" s="107" t="s">
        <v>101</v>
      </c>
      <c r="C15" s="106" t="s">
        <v>102</v>
      </c>
      <c r="D15" s="217" t="s">
        <v>103</v>
      </c>
      <c r="E15" s="108">
        <f>SUM(F15:G15)</f>
        <v>1287322.3824</v>
      </c>
      <c r="F15" s="110">
        <f>16461.508*22.8</f>
        <v>375322.38240000006</v>
      </c>
      <c r="G15" s="108">
        <f>40*22800</f>
        <v>912000</v>
      </c>
      <c r="H15" s="109"/>
      <c r="I15" s="129" t="s">
        <v>97</v>
      </c>
      <c r="J15" s="130">
        <v>40</v>
      </c>
      <c r="K15" s="129" t="s">
        <v>93</v>
      </c>
      <c r="L15" s="131">
        <f>G15*0.55</f>
        <v>501600.00000000006</v>
      </c>
      <c r="M15" s="110">
        <f>G15*0.45</f>
        <v>410400</v>
      </c>
      <c r="N15" s="132"/>
      <c r="O15" s="110">
        <v>410400</v>
      </c>
      <c r="P15" s="133"/>
      <c r="Q15" s="133"/>
      <c r="R15" s="133">
        <f>69200-53408</f>
        <v>15792</v>
      </c>
      <c r="S15" s="133">
        <v>0</v>
      </c>
      <c r="T15" s="133"/>
      <c r="U15" s="133">
        <f>+U16+U17</f>
        <v>36480</v>
      </c>
      <c r="V15" s="133">
        <f>+V16+V17</f>
        <v>0</v>
      </c>
      <c r="W15" s="133">
        <f>+W16+W17</f>
        <v>729.6</v>
      </c>
      <c r="X15" s="133">
        <f>+X16+X17</f>
        <v>116579</v>
      </c>
      <c r="Y15" s="154">
        <v>0.45</v>
      </c>
      <c r="Z15" s="131">
        <v>24815</v>
      </c>
      <c r="AA15" s="131">
        <f t="shared" si="2"/>
        <v>385585</v>
      </c>
      <c r="AB15" s="131">
        <f t="shared" si="3"/>
        <v>115665</v>
      </c>
      <c r="AC15" s="155">
        <f t="shared" si="4"/>
        <v>385585</v>
      </c>
      <c r="AD15" s="155">
        <f t="shared" si="5"/>
        <v>125665</v>
      </c>
      <c r="AE15" s="155">
        <f t="shared" si="6"/>
        <v>10000</v>
      </c>
      <c r="AF15" s="155">
        <f t="shared" si="6"/>
        <v>115665</v>
      </c>
      <c r="AG15" s="166">
        <v>81583.66666666666</v>
      </c>
      <c r="AH15" s="166">
        <f t="shared" si="7"/>
        <v>9919</v>
      </c>
      <c r="AI15" s="166">
        <v>0</v>
      </c>
      <c r="AJ15" s="166">
        <f>AJ16+AJ17</f>
        <v>9919</v>
      </c>
      <c r="AK15" s="166">
        <v>160091</v>
      </c>
      <c r="AL15" s="164">
        <f t="shared" si="8"/>
        <v>17029</v>
      </c>
      <c r="AM15" s="166">
        <v>0</v>
      </c>
      <c r="AN15" s="164">
        <f>AN16+AN17</f>
        <v>17029</v>
      </c>
      <c r="AO15" s="166">
        <v>143910.3333333333</v>
      </c>
      <c r="AP15" s="166">
        <f>AP16+AP17</f>
        <v>29727</v>
      </c>
      <c r="AQ15" s="166">
        <f>AQ16+AQ17</f>
        <v>0</v>
      </c>
      <c r="AR15" s="164">
        <f>AR16+AR17</f>
        <v>29727</v>
      </c>
      <c r="AS15" s="166">
        <v>0</v>
      </c>
      <c r="AT15" s="164">
        <f t="shared" si="9"/>
        <v>34495</v>
      </c>
      <c r="AU15" s="166">
        <f>AU16+AU17</f>
        <v>5000</v>
      </c>
      <c r="AV15" s="166">
        <f>AV16+AV17</f>
        <v>29495</v>
      </c>
      <c r="AW15" s="174"/>
      <c r="AX15" s="172">
        <f t="shared" si="10"/>
        <v>34495</v>
      </c>
      <c r="AY15" s="172">
        <v>5000</v>
      </c>
      <c r="AZ15" s="172">
        <f>AZ16+AZ17</f>
        <v>29495</v>
      </c>
    </row>
    <row r="16" spans="1:52" s="97" customFormat="1" ht="36.75" customHeight="1">
      <c r="A16" s="111"/>
      <c r="B16" s="112" t="s">
        <v>104</v>
      </c>
      <c r="C16" s="111"/>
      <c r="D16" s="113"/>
      <c r="E16" s="114"/>
      <c r="F16" s="115"/>
      <c r="G16" s="114">
        <f>20*22800</f>
        <v>456000</v>
      </c>
      <c r="H16" s="116"/>
      <c r="I16" s="134" t="s">
        <v>97</v>
      </c>
      <c r="J16" s="135">
        <v>20</v>
      </c>
      <c r="K16" s="134" t="s">
        <v>93</v>
      </c>
      <c r="L16" s="136">
        <f>+G16*0.8</f>
        <v>364800</v>
      </c>
      <c r="M16" s="115">
        <f>+G16*0.2</f>
        <v>91200</v>
      </c>
      <c r="N16" s="137">
        <v>0.02</v>
      </c>
      <c r="O16" s="115">
        <v>91200</v>
      </c>
      <c r="P16" s="138"/>
      <c r="Q16" s="138"/>
      <c r="R16" s="138"/>
      <c r="S16" s="138"/>
      <c r="T16" s="138"/>
      <c r="U16" s="138">
        <v>36480</v>
      </c>
      <c r="V16" s="138"/>
      <c r="W16" s="152">
        <f>(S16+U16)*N16</f>
        <v>729.6</v>
      </c>
      <c r="X16" s="153">
        <v>29277</v>
      </c>
      <c r="Y16" s="158">
        <v>0.2</v>
      </c>
      <c r="Z16" s="159">
        <v>5385</v>
      </c>
      <c r="AA16" s="159">
        <f t="shared" si="2"/>
        <v>85815</v>
      </c>
      <c r="AB16" s="159">
        <f t="shared" si="3"/>
        <v>40913</v>
      </c>
      <c r="AC16" s="160">
        <f t="shared" si="4"/>
        <v>85815</v>
      </c>
      <c r="AD16" s="160">
        <f t="shared" si="5"/>
        <v>50913</v>
      </c>
      <c r="AE16" s="160">
        <f t="shared" si="6"/>
        <v>10000</v>
      </c>
      <c r="AF16" s="160">
        <f t="shared" si="6"/>
        <v>40913</v>
      </c>
      <c r="AG16" s="167">
        <v>36048</v>
      </c>
      <c r="AH16" s="167">
        <f t="shared" si="7"/>
        <v>6701</v>
      </c>
      <c r="AI16" s="167">
        <v>0</v>
      </c>
      <c r="AJ16" s="167">
        <v>6701</v>
      </c>
      <c r="AK16" s="167">
        <v>30396</v>
      </c>
      <c r="AL16" s="164">
        <f t="shared" si="8"/>
        <v>8201</v>
      </c>
      <c r="AM16" s="167">
        <v>0</v>
      </c>
      <c r="AN16" s="167">
        <v>8201</v>
      </c>
      <c r="AO16" s="167">
        <v>19371</v>
      </c>
      <c r="AP16" s="164">
        <f>AQ16+AR16</f>
        <v>8825</v>
      </c>
      <c r="AQ16" s="167">
        <v>0</v>
      </c>
      <c r="AR16" s="167">
        <v>8825</v>
      </c>
      <c r="AS16" s="167">
        <v>0</v>
      </c>
      <c r="AT16" s="164">
        <f t="shared" si="9"/>
        <v>13593</v>
      </c>
      <c r="AU16" s="167">
        <v>5000</v>
      </c>
      <c r="AV16" s="167">
        <v>8593</v>
      </c>
      <c r="AW16" s="175"/>
      <c r="AX16" s="172">
        <f t="shared" si="10"/>
        <v>13593</v>
      </c>
      <c r="AY16" s="176">
        <v>5000</v>
      </c>
      <c r="AZ16" s="177">
        <v>8593</v>
      </c>
    </row>
    <row r="17" spans="1:52" s="97" customFormat="1" ht="36.75" customHeight="1">
      <c r="A17" s="111"/>
      <c r="B17" s="112" t="s">
        <v>105</v>
      </c>
      <c r="C17" s="111"/>
      <c r="D17" s="113"/>
      <c r="E17" s="114"/>
      <c r="F17" s="115"/>
      <c r="G17" s="114">
        <f>20*22800</f>
        <v>456000</v>
      </c>
      <c r="H17" s="116"/>
      <c r="I17" s="134" t="s">
        <v>97</v>
      </c>
      <c r="J17" s="135">
        <v>20</v>
      </c>
      <c r="K17" s="134" t="s">
        <v>93</v>
      </c>
      <c r="L17" s="136">
        <f>+G17*0.3</f>
        <v>136800</v>
      </c>
      <c r="M17" s="115">
        <f>+G17*0.7</f>
        <v>319200</v>
      </c>
      <c r="N17" s="139">
        <v>0.0475</v>
      </c>
      <c r="O17" s="115">
        <v>319200</v>
      </c>
      <c r="P17" s="138"/>
      <c r="Q17" s="138"/>
      <c r="R17" s="138"/>
      <c r="S17" s="138"/>
      <c r="T17" s="138"/>
      <c r="U17" s="138"/>
      <c r="V17" s="138">
        <v>0</v>
      </c>
      <c r="W17" s="152">
        <f>(S17+U17)*N17</f>
        <v>0</v>
      </c>
      <c r="X17" s="138">
        <f>116579-X16</f>
        <v>87302</v>
      </c>
      <c r="Y17" s="161">
        <v>0.7</v>
      </c>
      <c r="Z17" s="136">
        <v>19430</v>
      </c>
      <c r="AA17" s="136">
        <f t="shared" si="2"/>
        <v>299770</v>
      </c>
      <c r="AB17" s="136">
        <f t="shared" si="3"/>
        <v>74752</v>
      </c>
      <c r="AC17" s="160">
        <f t="shared" si="4"/>
        <v>299770</v>
      </c>
      <c r="AD17" s="160">
        <f t="shared" si="5"/>
        <v>74752</v>
      </c>
      <c r="AE17" s="160">
        <f t="shared" si="6"/>
        <v>0</v>
      </c>
      <c r="AF17" s="160">
        <f t="shared" si="6"/>
        <v>74752</v>
      </c>
      <c r="AG17" s="167">
        <v>45535.666666666664</v>
      </c>
      <c r="AH17" s="167">
        <f t="shared" si="7"/>
        <v>3218</v>
      </c>
      <c r="AI17" s="167">
        <v>0</v>
      </c>
      <c r="AJ17" s="167">
        <v>3218</v>
      </c>
      <c r="AK17" s="167">
        <v>129695</v>
      </c>
      <c r="AL17" s="164">
        <f t="shared" si="8"/>
        <v>8828</v>
      </c>
      <c r="AM17" s="167">
        <v>0</v>
      </c>
      <c r="AN17" s="167">
        <v>8828</v>
      </c>
      <c r="AO17" s="167">
        <v>124539.33333333331</v>
      </c>
      <c r="AP17" s="164">
        <f>AQ17+AR17</f>
        <v>20902</v>
      </c>
      <c r="AQ17" s="167">
        <v>0</v>
      </c>
      <c r="AR17" s="167">
        <v>20902</v>
      </c>
      <c r="AS17" s="167">
        <v>0</v>
      </c>
      <c r="AT17" s="164">
        <f t="shared" si="9"/>
        <v>20902</v>
      </c>
      <c r="AU17" s="167">
        <v>0</v>
      </c>
      <c r="AV17" s="167">
        <v>20902</v>
      </c>
      <c r="AW17" s="175"/>
      <c r="AX17" s="172">
        <f t="shared" si="10"/>
        <v>20902</v>
      </c>
      <c r="AY17" s="178">
        <v>0</v>
      </c>
      <c r="AZ17" s="177">
        <v>20902</v>
      </c>
    </row>
    <row r="18" spans="1:52" s="96" customFormat="1" ht="66.75" customHeight="1">
      <c r="A18" s="117">
        <v>5</v>
      </c>
      <c r="B18" s="118" t="s">
        <v>106</v>
      </c>
      <c r="C18" s="117" t="s">
        <v>107</v>
      </c>
      <c r="D18" s="218" t="s">
        <v>185</v>
      </c>
      <c r="E18" s="119">
        <v>440005.5</v>
      </c>
      <c r="F18" s="120">
        <v>40000.5</v>
      </c>
      <c r="G18" s="119">
        <f>+L18+M18</f>
        <v>400005</v>
      </c>
      <c r="H18" s="121"/>
      <c r="I18" s="140" t="s">
        <v>108</v>
      </c>
      <c r="J18" s="141">
        <v>16.5</v>
      </c>
      <c r="K18" s="140" t="s">
        <v>109</v>
      </c>
      <c r="L18" s="142">
        <v>240003</v>
      </c>
      <c r="M18" s="120">
        <v>160002</v>
      </c>
      <c r="N18" s="143">
        <v>0.02</v>
      </c>
      <c r="O18" s="120">
        <v>160002</v>
      </c>
      <c r="P18" s="144"/>
      <c r="Q18" s="144"/>
      <c r="R18" s="144"/>
      <c r="S18" s="144"/>
      <c r="T18" s="144"/>
      <c r="U18" s="144"/>
      <c r="V18" s="144"/>
      <c r="W18" s="144"/>
      <c r="X18" s="144"/>
      <c r="Y18" s="162">
        <v>0.4</v>
      </c>
      <c r="Z18" s="142"/>
      <c r="AA18" s="142">
        <f t="shared" si="2"/>
        <v>160002</v>
      </c>
      <c r="AB18" s="142">
        <f t="shared" si="3"/>
        <v>14014</v>
      </c>
      <c r="AC18" s="155">
        <f t="shared" si="4"/>
        <v>160002</v>
      </c>
      <c r="AD18" s="155">
        <f t="shared" si="5"/>
        <v>14014</v>
      </c>
      <c r="AE18" s="155">
        <f t="shared" si="6"/>
        <v>0</v>
      </c>
      <c r="AF18" s="155">
        <f t="shared" si="6"/>
        <v>14014</v>
      </c>
      <c r="AG18" s="166">
        <v>53334</v>
      </c>
      <c r="AH18" s="166">
        <f t="shared" si="7"/>
        <v>1560</v>
      </c>
      <c r="AI18" s="166">
        <v>0</v>
      </c>
      <c r="AJ18" s="166">
        <v>1560</v>
      </c>
      <c r="AK18" s="166">
        <v>53334</v>
      </c>
      <c r="AL18" s="164">
        <f t="shared" si="8"/>
        <v>2316</v>
      </c>
      <c r="AM18" s="166">
        <v>0</v>
      </c>
      <c r="AN18" s="164">
        <v>2316</v>
      </c>
      <c r="AO18" s="166">
        <v>53334</v>
      </c>
      <c r="AP18" s="166">
        <f>AQ18+AR18</f>
        <v>3369</v>
      </c>
      <c r="AQ18" s="166">
        <v>0</v>
      </c>
      <c r="AR18" s="164">
        <v>3369</v>
      </c>
      <c r="AS18" s="166">
        <v>0</v>
      </c>
      <c r="AT18" s="164">
        <f t="shared" si="9"/>
        <v>3369</v>
      </c>
      <c r="AU18" s="166">
        <v>0</v>
      </c>
      <c r="AV18" s="166">
        <v>3369</v>
      </c>
      <c r="AW18" s="174"/>
      <c r="AX18" s="172">
        <f t="shared" si="10"/>
        <v>3400</v>
      </c>
      <c r="AY18" s="172">
        <v>0</v>
      </c>
      <c r="AZ18" s="172">
        <v>3400</v>
      </c>
    </row>
    <row r="19" spans="1:52" ht="43.5" customHeight="1">
      <c r="A19" s="122"/>
      <c r="B19" s="123"/>
      <c r="C19" s="122"/>
      <c r="D19" s="122"/>
      <c r="E19" s="124"/>
      <c r="F19" s="124"/>
      <c r="G19" s="124"/>
      <c r="H19" s="122"/>
      <c r="I19" s="145"/>
      <c r="J19" s="146"/>
      <c r="K19" s="122"/>
      <c r="L19" s="147"/>
      <c r="M19" s="147"/>
      <c r="N19" s="148"/>
      <c r="O19" s="124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24"/>
      <c r="AA19" s="124"/>
      <c r="AB19" s="124"/>
      <c r="AC19" s="124"/>
      <c r="AD19" s="124"/>
      <c r="AE19" s="124"/>
      <c r="AF19" s="124"/>
      <c r="AG19" s="168"/>
      <c r="AH19" s="168"/>
      <c r="AI19" s="168"/>
      <c r="AJ19" s="168"/>
      <c r="AK19" s="168"/>
      <c r="AL19" s="169"/>
      <c r="AM19" s="168"/>
      <c r="AN19" s="169"/>
      <c r="AO19" s="168"/>
      <c r="AP19" s="168"/>
      <c r="AQ19" s="170"/>
      <c r="AR19" s="171"/>
      <c r="AS19" s="170"/>
      <c r="AT19" s="168"/>
      <c r="AU19" s="170"/>
      <c r="AV19" s="171"/>
      <c r="AW19" s="170"/>
      <c r="AX19" s="179"/>
      <c r="AY19" s="170"/>
      <c r="AZ19" s="170"/>
    </row>
    <row r="20" spans="2:50" s="98" customFormat="1" ht="18.75">
      <c r="B20" s="99"/>
      <c r="J20" s="100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AX20" s="179"/>
    </row>
    <row r="21" spans="2:25" s="98" customFormat="1" ht="18.75">
      <c r="B21" s="99"/>
      <c r="H21" s="125"/>
      <c r="J21" s="100"/>
      <c r="P21" s="101"/>
      <c r="Q21" s="101"/>
      <c r="R21" s="101"/>
      <c r="S21" s="101"/>
      <c r="T21" s="101"/>
      <c r="U21" s="101"/>
      <c r="V21" s="101"/>
      <c r="W21" s="101"/>
      <c r="X21" s="101"/>
      <c r="Y21" s="101"/>
    </row>
  </sheetData>
  <sheetProtection/>
  <mergeCells count="72">
    <mergeCell ref="A4:AZ4"/>
    <mergeCell ref="AD8:AD9"/>
    <mergeCell ref="AG7:AG9"/>
    <mergeCell ref="AH8:AH9"/>
    <mergeCell ref="AK7:AK9"/>
    <mergeCell ref="AL8:AL9"/>
    <mergeCell ref="AO7:AO9"/>
    <mergeCell ref="AE8:AF8"/>
    <mergeCell ref="AI8:AJ8"/>
    <mergeCell ref="AM8:AN8"/>
    <mergeCell ref="T7:T9"/>
    <mergeCell ref="U7:U9"/>
    <mergeCell ref="V7:V9"/>
    <mergeCell ref="W7:W9"/>
    <mergeCell ref="X6:X9"/>
    <mergeCell ref="Y6:Y9"/>
    <mergeCell ref="U6:W6"/>
    <mergeCell ref="N7:N9"/>
    <mergeCell ref="O6:O9"/>
    <mergeCell ref="P7:P9"/>
    <mergeCell ref="Q7:Q9"/>
    <mergeCell ref="R7:R9"/>
    <mergeCell ref="S7:S9"/>
    <mergeCell ref="G8:G9"/>
    <mergeCell ref="H6:H9"/>
    <mergeCell ref="I6:I9"/>
    <mergeCell ref="J7:J9"/>
    <mergeCell ref="K7:K9"/>
    <mergeCell ref="L7:L9"/>
    <mergeCell ref="A6:A9"/>
    <mergeCell ref="B6:B9"/>
    <mergeCell ref="C6:C9"/>
    <mergeCell ref="D6:D9"/>
    <mergeCell ref="E7:E9"/>
    <mergeCell ref="F8:F9"/>
    <mergeCell ref="AU8:AV8"/>
    <mergeCell ref="AY8:AZ8"/>
    <mergeCell ref="AP8:AP9"/>
    <mergeCell ref="AS7:AS9"/>
    <mergeCell ref="AT8:AT9"/>
    <mergeCell ref="AW7:AW9"/>
    <mergeCell ref="AX8:AX9"/>
    <mergeCell ref="AS6:AV6"/>
    <mergeCell ref="AW6:AZ6"/>
    <mergeCell ref="F7:G7"/>
    <mergeCell ref="AD7:AF7"/>
    <mergeCell ref="AH7:AJ7"/>
    <mergeCell ref="AL7:AN7"/>
    <mergeCell ref="AP7:AR7"/>
    <mergeCell ref="AT7:AV7"/>
    <mergeCell ref="AX7:AZ7"/>
    <mergeCell ref="M7:M9"/>
    <mergeCell ref="AA6:AB6"/>
    <mergeCell ref="AC6:AF6"/>
    <mergeCell ref="AG6:AJ6"/>
    <mergeCell ref="AK6:AN6"/>
    <mergeCell ref="AO6:AR6"/>
    <mergeCell ref="Z6:Z9"/>
    <mergeCell ref="AA7:AA9"/>
    <mergeCell ref="AB7:AB9"/>
    <mergeCell ref="AC7:AC9"/>
    <mergeCell ref="AQ8:AR8"/>
    <mergeCell ref="A1:AZ1"/>
    <mergeCell ref="A2:AZ2"/>
    <mergeCell ref="A3:AZ3"/>
    <mergeCell ref="Z5:AB5"/>
    <mergeCell ref="AX5:AZ5"/>
    <mergeCell ref="E6:G6"/>
    <mergeCell ref="J6:K6"/>
    <mergeCell ref="L6:N6"/>
    <mergeCell ref="P6:Q6"/>
    <mergeCell ref="R6:T6"/>
  </mergeCells>
  <printOptions horizontalCentered="1"/>
  <pageMargins left="0.4326388888888889" right="0.15694444444444444" top="0.4799999999999999" bottom="0.2362204724409449" header="0.1968503937007874" footer="0.31496062992125984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87"/>
  <sheetViews>
    <sheetView zoomScale="70" zoomScaleNormal="70" zoomScalePageLayoutView="0" workbookViewId="0" topLeftCell="A1">
      <pane ySplit="5" topLeftCell="A9" activePane="bottomLeft" state="frozen"/>
      <selection pane="topLeft" activeCell="A1" sqref="A1"/>
      <selection pane="bottomLeft" activeCell="K13" sqref="K13"/>
    </sheetView>
  </sheetViews>
  <sheetFormatPr defaultColWidth="0" defaultRowHeight="15.75"/>
  <cols>
    <col min="1" max="1" width="6.125" style="27" customWidth="1"/>
    <col min="2" max="2" width="71.625" style="27" customWidth="1"/>
    <col min="3" max="3" width="15.875" style="27" hidden="1" customWidth="1"/>
    <col min="4" max="5" width="13.875" style="27" customWidth="1"/>
    <col min="6" max="6" width="13.875" style="28" customWidth="1"/>
    <col min="7" max="7" width="13.875" style="29" customWidth="1"/>
    <col min="8" max="11" width="13.875" style="27" customWidth="1"/>
    <col min="12" max="32" width="9.00390625" style="27" customWidth="1"/>
    <col min="33" max="224" width="0" style="27" hidden="1" customWidth="1"/>
    <col min="225" max="250" width="9.00390625" style="27" customWidth="1"/>
    <col min="251" max="251" width="6.125" style="27" customWidth="1"/>
    <col min="252" max="252" width="72.00390625" style="27" customWidth="1"/>
    <col min="253" max="16384" width="0" style="27" hidden="1" customWidth="1"/>
  </cols>
  <sheetData>
    <row r="1" spans="1:12" ht="25.5" customHeight="1">
      <c r="A1" s="22"/>
      <c r="B1" s="273" t="s">
        <v>110</v>
      </c>
      <c r="C1" s="273"/>
      <c r="D1" s="273"/>
      <c r="E1" s="273"/>
      <c r="F1" s="273"/>
      <c r="G1" s="273"/>
      <c r="H1" s="273"/>
      <c r="I1" s="273"/>
      <c r="J1" s="273"/>
      <c r="K1" s="273"/>
      <c r="L1" s="88"/>
    </row>
    <row r="2" spans="1:11" ht="25.5" customHeight="1">
      <c r="A2" s="274" t="s">
        <v>111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253" s="19" customFormat="1" ht="22.5" customHeight="1">
      <c r="A3" s="30"/>
      <c r="B3" s="30"/>
      <c r="C3" s="24"/>
      <c r="D3" s="24"/>
      <c r="E3" s="24"/>
      <c r="F3" s="31"/>
      <c r="G3" s="32"/>
      <c r="H3" s="24"/>
      <c r="I3" s="24"/>
      <c r="J3" s="275" t="s">
        <v>112</v>
      </c>
      <c r="K3" s="275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</row>
    <row r="4" spans="1:11" s="19" customFormat="1" ht="34.5" customHeight="1">
      <c r="A4" s="278" t="s">
        <v>41</v>
      </c>
      <c r="B4" s="280" t="s">
        <v>113</v>
      </c>
      <c r="C4" s="276" t="s">
        <v>12</v>
      </c>
      <c r="D4" s="276"/>
      <c r="E4" s="276"/>
      <c r="F4" s="258" t="s">
        <v>55</v>
      </c>
      <c r="G4" s="265" t="s">
        <v>114</v>
      </c>
      <c r="H4" s="265" t="s">
        <v>115</v>
      </c>
      <c r="I4" s="265" t="s">
        <v>116</v>
      </c>
      <c r="J4" s="265" t="s">
        <v>117</v>
      </c>
      <c r="K4" s="265" t="s">
        <v>118</v>
      </c>
    </row>
    <row r="5" spans="1:253" s="20" customFormat="1" ht="46.5" customHeight="1">
      <c r="A5" s="279"/>
      <c r="B5" s="280"/>
      <c r="C5" s="33" t="s">
        <v>119</v>
      </c>
      <c r="D5" s="33" t="s">
        <v>120</v>
      </c>
      <c r="E5" s="33" t="s">
        <v>121</v>
      </c>
      <c r="F5" s="257"/>
      <c r="G5" s="266"/>
      <c r="H5" s="266"/>
      <c r="I5" s="266"/>
      <c r="J5" s="266"/>
      <c r="K5" s="266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</row>
    <row r="6" spans="1:253" ht="22.5" customHeight="1">
      <c r="A6" s="34" t="s">
        <v>15</v>
      </c>
      <c r="B6" s="34" t="s">
        <v>16</v>
      </c>
      <c r="C6" s="34">
        <v>1</v>
      </c>
      <c r="D6" s="34">
        <v>1</v>
      </c>
      <c r="E6" s="34">
        <v>2</v>
      </c>
      <c r="F6" s="35" t="s">
        <v>122</v>
      </c>
      <c r="G6" s="36">
        <v>4</v>
      </c>
      <c r="H6" s="34">
        <v>5</v>
      </c>
      <c r="I6" s="36">
        <v>6</v>
      </c>
      <c r="J6" s="34">
        <v>7</v>
      </c>
      <c r="K6" s="36">
        <v>8</v>
      </c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</row>
    <row r="7" spans="1:11" s="21" customFormat="1" ht="28.5" customHeight="1">
      <c r="A7" s="37" t="s">
        <v>15</v>
      </c>
      <c r="B7" s="38" t="s">
        <v>123</v>
      </c>
      <c r="C7" s="39">
        <v>5813200</v>
      </c>
      <c r="D7" s="39">
        <v>5813200</v>
      </c>
      <c r="E7" s="39">
        <v>5813200</v>
      </c>
      <c r="F7" s="40">
        <v>35848505</v>
      </c>
      <c r="G7" s="40">
        <v>5513500</v>
      </c>
      <c r="H7" s="267" t="s">
        <v>124</v>
      </c>
      <c r="I7" s="268"/>
      <c r="J7" s="268"/>
      <c r="K7" s="269"/>
    </row>
    <row r="8" spans="1:11" s="21" customFormat="1" ht="28.5" customHeight="1">
      <c r="A8" s="41" t="s">
        <v>16</v>
      </c>
      <c r="B8" s="42" t="s">
        <v>125</v>
      </c>
      <c r="C8" s="43">
        <v>12463166</v>
      </c>
      <c r="D8" s="43">
        <v>12463166</v>
      </c>
      <c r="E8" s="43">
        <v>12463166</v>
      </c>
      <c r="F8" s="43">
        <v>81419805</v>
      </c>
      <c r="G8" s="43">
        <v>12405730</v>
      </c>
      <c r="H8" s="270"/>
      <c r="I8" s="271"/>
      <c r="J8" s="271"/>
      <c r="K8" s="272"/>
    </row>
    <row r="9" spans="1:11" s="22" customFormat="1" ht="28.5" customHeight="1">
      <c r="A9" s="44" t="s">
        <v>126</v>
      </c>
      <c r="B9" s="45" t="s">
        <v>127</v>
      </c>
      <c r="C9" s="46">
        <f>+C34-C21</f>
        <v>122400</v>
      </c>
      <c r="D9" s="47"/>
      <c r="E9" s="47"/>
      <c r="F9" s="48"/>
      <c r="G9" s="47"/>
      <c r="H9" s="47"/>
      <c r="I9" s="47"/>
      <c r="J9" s="47"/>
      <c r="K9" s="47"/>
    </row>
    <row r="10" spans="1:11" s="23" customFormat="1" ht="28.5" customHeight="1">
      <c r="A10" s="49">
        <v>1</v>
      </c>
      <c r="B10" s="50" t="s">
        <v>20</v>
      </c>
      <c r="C10" s="51"/>
      <c r="D10" s="52">
        <v>122400</v>
      </c>
      <c r="E10" s="52">
        <v>122400</v>
      </c>
      <c r="F10" s="53">
        <f>G10+H10+I10+J10+K10</f>
        <v>684033.3333333333</v>
      </c>
      <c r="G10" s="52">
        <v>204800</v>
      </c>
      <c r="H10" s="52">
        <f>+H34</f>
        <v>281989</v>
      </c>
      <c r="I10" s="52">
        <f>+I34</f>
        <v>197244.3333333333</v>
      </c>
      <c r="J10" s="50"/>
      <c r="K10" s="50"/>
    </row>
    <row r="11" spans="1:11" s="23" customFormat="1" ht="28.5" customHeight="1">
      <c r="A11" s="49">
        <v>2</v>
      </c>
      <c r="B11" s="50" t="s">
        <v>19</v>
      </c>
      <c r="C11" s="51"/>
      <c r="D11" s="51"/>
      <c r="E11" s="51"/>
      <c r="F11" s="53">
        <f>G11+H11+I11+J11+K11</f>
        <v>32936</v>
      </c>
      <c r="G11" s="52"/>
      <c r="H11" s="52"/>
      <c r="I11" s="52"/>
      <c r="J11" s="52">
        <v>16468</v>
      </c>
      <c r="K11" s="52">
        <v>16468</v>
      </c>
    </row>
    <row r="12" spans="1:11" s="22" customFormat="1" ht="28.5" customHeight="1">
      <c r="A12" s="54" t="s">
        <v>128</v>
      </c>
      <c r="B12" s="55" t="s">
        <v>129</v>
      </c>
      <c r="C12" s="56">
        <f>+C7*0.2</f>
        <v>1162640</v>
      </c>
      <c r="D12" s="56">
        <f>+D7*0.2</f>
        <v>1162640</v>
      </c>
      <c r="E12" s="56">
        <v>1162640</v>
      </c>
      <c r="F12" s="57">
        <f>+F7*0.2</f>
        <v>7169701</v>
      </c>
      <c r="G12" s="47">
        <f>+G7*0.2</f>
        <v>1102700</v>
      </c>
      <c r="H12" s="56"/>
      <c r="I12" s="56"/>
      <c r="J12" s="56"/>
      <c r="K12" s="56"/>
    </row>
    <row r="13" spans="1:11" s="23" customFormat="1" ht="28.5" customHeight="1">
      <c r="A13" s="54" t="s">
        <v>130</v>
      </c>
      <c r="B13" s="55" t="s">
        <v>131</v>
      </c>
      <c r="C13" s="51"/>
      <c r="D13" s="51"/>
      <c r="E13" s="51"/>
      <c r="F13" s="48"/>
      <c r="G13" s="52"/>
      <c r="H13" s="51"/>
      <c r="I13" s="51"/>
      <c r="J13" s="50"/>
      <c r="K13" s="50"/>
    </row>
    <row r="14" spans="1:253" s="24" customFormat="1" ht="28.5" customHeight="1">
      <c r="A14" s="54" t="s">
        <v>17</v>
      </c>
      <c r="B14" s="55" t="s">
        <v>132</v>
      </c>
      <c r="C14" s="56">
        <f>C16+C17+C18</f>
        <v>284230</v>
      </c>
      <c r="D14" s="56">
        <f>D16+D17+D18</f>
        <v>277430</v>
      </c>
      <c r="E14" s="56">
        <v>277430</v>
      </c>
      <c r="F14" s="57">
        <f aca="true" t="shared" si="0" ref="F14:K14">F16+F17+F18</f>
        <v>2657315.333333333</v>
      </c>
      <c r="G14" s="47">
        <f t="shared" si="0"/>
        <v>221277</v>
      </c>
      <c r="H14" s="56">
        <f t="shared" si="0"/>
        <v>344776.6666666666</v>
      </c>
      <c r="I14" s="56">
        <f t="shared" si="0"/>
        <v>589083.6666666666</v>
      </c>
      <c r="J14" s="56">
        <f t="shared" si="0"/>
        <v>759323</v>
      </c>
      <c r="K14" s="56">
        <f t="shared" si="0"/>
        <v>742855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</row>
    <row r="15" spans="1:11" s="23" customFormat="1" ht="39.75" customHeight="1">
      <c r="A15" s="54"/>
      <c r="B15" s="58" t="s">
        <v>133</v>
      </c>
      <c r="C15" s="59">
        <f>+C14/C12</f>
        <v>0.24446948324502857</v>
      </c>
      <c r="D15" s="59">
        <f>+D14/D12</f>
        <v>0.23862072524599187</v>
      </c>
      <c r="E15" s="59">
        <v>0.23862072524599187</v>
      </c>
      <c r="F15" s="60">
        <f>+F14/F12</f>
        <v>0.37063126249383804</v>
      </c>
      <c r="G15" s="61">
        <f>+G14/G12</f>
        <v>0.20066835948127323</v>
      </c>
      <c r="H15" s="59"/>
      <c r="I15" s="59"/>
      <c r="J15" s="59"/>
      <c r="K15" s="59"/>
    </row>
    <row r="16" spans="1:11" s="23" customFormat="1" ht="28.5" customHeight="1">
      <c r="A16" s="49">
        <v>1</v>
      </c>
      <c r="B16" s="50" t="s">
        <v>134</v>
      </c>
      <c r="C16" s="51"/>
      <c r="D16" s="51"/>
      <c r="E16" s="51"/>
      <c r="F16" s="48"/>
      <c r="G16" s="52"/>
      <c r="H16" s="62"/>
      <c r="I16" s="62"/>
      <c r="J16" s="50"/>
      <c r="K16" s="50"/>
    </row>
    <row r="17" spans="1:11" s="23" customFormat="1" ht="28.5" customHeight="1">
      <c r="A17" s="49">
        <v>2</v>
      </c>
      <c r="B17" s="50" t="s">
        <v>135</v>
      </c>
      <c r="C17" s="51">
        <v>23580</v>
      </c>
      <c r="D17" s="51">
        <v>16799</v>
      </c>
      <c r="E17" s="51">
        <v>16799</v>
      </c>
      <c r="F17" s="53">
        <f>G17+H17+I17+J17+K17</f>
        <v>2478276.333333333</v>
      </c>
      <c r="G17" s="52">
        <f>E45</f>
        <v>99526</v>
      </c>
      <c r="H17" s="51">
        <f>G45</f>
        <v>303025.6666666666</v>
      </c>
      <c r="I17" s="51">
        <f aca="true" t="shared" si="1" ref="I17:K18">H45</f>
        <v>573546.6666666666</v>
      </c>
      <c r="J17" s="51">
        <f t="shared" si="1"/>
        <v>759323</v>
      </c>
      <c r="K17" s="51">
        <f t="shared" si="1"/>
        <v>742855</v>
      </c>
    </row>
    <row r="18" spans="1:253" s="25" customFormat="1" ht="28.5" customHeight="1">
      <c r="A18" s="49">
        <v>3</v>
      </c>
      <c r="B18" s="63" t="s">
        <v>136</v>
      </c>
      <c r="C18" s="51">
        <v>260650</v>
      </c>
      <c r="D18" s="51">
        <f>D19+D20</f>
        <v>260631</v>
      </c>
      <c r="E18" s="51">
        <v>260631</v>
      </c>
      <c r="F18" s="53">
        <f>G18+H18+I18+J18+K18</f>
        <v>179039</v>
      </c>
      <c r="G18" s="52">
        <f>E46</f>
        <v>121751</v>
      </c>
      <c r="H18" s="51">
        <f>G46</f>
        <v>41751</v>
      </c>
      <c r="I18" s="51">
        <f t="shared" si="1"/>
        <v>15537</v>
      </c>
      <c r="J18" s="51">
        <f t="shared" si="1"/>
        <v>0</v>
      </c>
      <c r="K18" s="51">
        <f t="shared" si="1"/>
        <v>0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</row>
    <row r="19" spans="1:11" s="25" customFormat="1" ht="28.5" customHeight="1" hidden="1">
      <c r="A19" s="64" t="s">
        <v>137</v>
      </c>
      <c r="B19" s="65" t="s">
        <v>138</v>
      </c>
      <c r="C19" s="66">
        <v>37702</v>
      </c>
      <c r="D19" s="66">
        <v>37702</v>
      </c>
      <c r="E19" s="66">
        <v>37702</v>
      </c>
      <c r="F19" s="67">
        <f>+D47</f>
        <v>0</v>
      </c>
      <c r="G19" s="68">
        <f>+E47</f>
        <v>0</v>
      </c>
      <c r="H19" s="66">
        <f>+G47</f>
        <v>0</v>
      </c>
      <c r="I19" s="66">
        <f>+H47</f>
        <v>0</v>
      </c>
      <c r="J19" s="90"/>
      <c r="K19" s="90"/>
    </row>
    <row r="20" spans="1:253" s="22" customFormat="1" ht="28.5" customHeight="1" hidden="1">
      <c r="A20" s="64" t="s">
        <v>137</v>
      </c>
      <c r="B20" s="65" t="s">
        <v>139</v>
      </c>
      <c r="C20" s="66">
        <v>222948</v>
      </c>
      <c r="D20" s="66">
        <v>222929</v>
      </c>
      <c r="E20" s="66">
        <v>222929</v>
      </c>
      <c r="F20" s="67">
        <f>+D48</f>
        <v>121751</v>
      </c>
      <c r="G20" s="68">
        <f>+E48</f>
        <v>121751</v>
      </c>
      <c r="H20" s="66">
        <f>+G48</f>
        <v>41751</v>
      </c>
      <c r="I20" s="66">
        <f>+H48</f>
        <v>15537</v>
      </c>
      <c r="J20" s="66">
        <f>I46</f>
        <v>0</v>
      </c>
      <c r="K20" s="66">
        <f>J46</f>
        <v>0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</row>
    <row r="21" spans="1:253" s="23" customFormat="1" ht="28.5" customHeight="1">
      <c r="A21" s="54" t="s">
        <v>21</v>
      </c>
      <c r="B21" s="55" t="s">
        <v>140</v>
      </c>
      <c r="C21" s="56">
        <v>90100</v>
      </c>
      <c r="D21" s="56">
        <f>D25</f>
        <v>138880</v>
      </c>
      <c r="E21" s="56">
        <f>E25</f>
        <v>138880</v>
      </c>
      <c r="F21" s="57">
        <f>F25+F24</f>
        <v>178923</v>
      </c>
      <c r="G21" s="47">
        <f>G25+G24</f>
        <v>81300</v>
      </c>
      <c r="H21" s="56">
        <f>H25+H24</f>
        <v>37682</v>
      </c>
      <c r="I21" s="56">
        <f>+I24+I25</f>
        <v>27005</v>
      </c>
      <c r="J21" s="56">
        <f>+J24+J25</f>
        <v>16468</v>
      </c>
      <c r="K21" s="56">
        <f>+K24+K25</f>
        <v>16468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11" s="22" customFormat="1" ht="28.5" customHeight="1">
      <c r="A22" s="54">
        <v>1</v>
      </c>
      <c r="B22" s="55" t="s">
        <v>141</v>
      </c>
      <c r="C22" s="56"/>
      <c r="D22" s="56">
        <f>+D23+D24+D25</f>
        <v>138880</v>
      </c>
      <c r="E22" s="56">
        <f aca="true" t="shared" si="2" ref="E22:K22">+E23+E24+E25</f>
        <v>138880</v>
      </c>
      <c r="F22" s="56">
        <f t="shared" si="2"/>
        <v>178923</v>
      </c>
      <c r="G22" s="56">
        <f t="shared" si="2"/>
        <v>81300</v>
      </c>
      <c r="H22" s="56">
        <f t="shared" si="2"/>
        <v>37682</v>
      </c>
      <c r="I22" s="56">
        <f t="shared" si="2"/>
        <v>27005</v>
      </c>
      <c r="J22" s="56">
        <f t="shared" si="2"/>
        <v>16468</v>
      </c>
      <c r="K22" s="56">
        <f t="shared" si="2"/>
        <v>16468</v>
      </c>
    </row>
    <row r="23" spans="1:11" s="23" customFormat="1" ht="28.5" customHeight="1">
      <c r="A23" s="54" t="s">
        <v>142</v>
      </c>
      <c r="B23" s="50" t="s">
        <v>143</v>
      </c>
      <c r="C23" s="51"/>
      <c r="D23" s="51"/>
      <c r="E23" s="51"/>
      <c r="F23" s="48"/>
      <c r="G23" s="52"/>
      <c r="H23" s="51"/>
      <c r="I23" s="51"/>
      <c r="J23" s="50"/>
      <c r="K23" s="50"/>
    </row>
    <row r="24" spans="1:11" s="23" customFormat="1" ht="28.5" customHeight="1">
      <c r="A24" s="216" t="s">
        <v>142</v>
      </c>
      <c r="B24" s="50" t="s">
        <v>135</v>
      </c>
      <c r="C24" s="51"/>
      <c r="D24" s="51">
        <v>0</v>
      </c>
      <c r="E24" s="51">
        <v>0</v>
      </c>
      <c r="F24" s="53">
        <f>G24+H24+I24+J24+K24</f>
        <v>57172</v>
      </c>
      <c r="G24" s="52">
        <f>'PL kèm theo trình'!AI11</f>
        <v>1300</v>
      </c>
      <c r="H24" s="51">
        <f>'PL kèm theo trình'!AM11</f>
        <v>11468</v>
      </c>
      <c r="I24" s="51">
        <f>'PL kèm theo trình'!AQ11</f>
        <v>11468</v>
      </c>
      <c r="J24" s="51">
        <f>'PL kèm theo trình'!AU11</f>
        <v>16468</v>
      </c>
      <c r="K24" s="51">
        <f>'PL kèm theo trình'!AY11</f>
        <v>16468</v>
      </c>
    </row>
    <row r="25" spans="1:253" s="26" customFormat="1" ht="28.5" customHeight="1">
      <c r="A25" s="216" t="s">
        <v>142</v>
      </c>
      <c r="B25" s="63" t="s">
        <v>144</v>
      </c>
      <c r="C25" s="51">
        <f aca="true" t="shared" si="3" ref="C25:I25">C26+C27</f>
        <v>90100</v>
      </c>
      <c r="D25" s="51">
        <f t="shared" si="3"/>
        <v>138880</v>
      </c>
      <c r="E25" s="51">
        <f t="shared" si="3"/>
        <v>138880</v>
      </c>
      <c r="F25" s="69">
        <f t="shared" si="3"/>
        <v>121751</v>
      </c>
      <c r="G25" s="52">
        <f t="shared" si="3"/>
        <v>80000</v>
      </c>
      <c r="H25" s="51">
        <f t="shared" si="3"/>
        <v>26214</v>
      </c>
      <c r="I25" s="51">
        <f t="shared" si="3"/>
        <v>15537</v>
      </c>
      <c r="J25" s="50">
        <v>0</v>
      </c>
      <c r="K25" s="50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</row>
    <row r="26" spans="1:11" s="25" customFormat="1" ht="28.5" customHeight="1" hidden="1">
      <c r="A26" s="64" t="s">
        <v>145</v>
      </c>
      <c r="B26" s="65" t="s">
        <v>138</v>
      </c>
      <c r="C26" s="66">
        <v>37702</v>
      </c>
      <c r="D26" s="66">
        <v>37702</v>
      </c>
      <c r="E26" s="66">
        <v>37702</v>
      </c>
      <c r="F26" s="70">
        <f>G26+H26+I26+J26+K26</f>
        <v>0</v>
      </c>
      <c r="G26" s="68">
        <v>0</v>
      </c>
      <c r="H26" s="71">
        <v>0</v>
      </c>
      <c r="I26" s="71">
        <v>0</v>
      </c>
      <c r="J26" s="90"/>
      <c r="K26" s="90"/>
    </row>
    <row r="27" spans="1:11" s="25" customFormat="1" ht="28.5" customHeight="1" hidden="1">
      <c r="A27" s="64" t="s">
        <v>146</v>
      </c>
      <c r="B27" s="65" t="s">
        <v>139</v>
      </c>
      <c r="C27" s="66">
        <v>52398</v>
      </c>
      <c r="D27" s="66">
        <v>101178</v>
      </c>
      <c r="E27" s="66">
        <v>101178</v>
      </c>
      <c r="F27" s="70">
        <f>G27+H27+I27+J27+K27</f>
        <v>121751</v>
      </c>
      <c r="G27" s="72">
        <f>27528+52472</f>
        <v>80000</v>
      </c>
      <c r="H27" s="71">
        <v>26214</v>
      </c>
      <c r="I27" s="72">
        <f>15578-41</f>
        <v>15537</v>
      </c>
      <c r="J27" s="72"/>
      <c r="K27" s="72"/>
    </row>
    <row r="28" spans="1:11" s="22" customFormat="1" ht="28.5" customHeight="1">
      <c r="A28" s="54">
        <v>2</v>
      </c>
      <c r="B28" s="55" t="s">
        <v>147</v>
      </c>
      <c r="C28" s="56">
        <f aca="true" t="shared" si="4" ref="C28:K28">C29+C30+C31+C33</f>
        <v>90100</v>
      </c>
      <c r="D28" s="56">
        <f t="shared" si="4"/>
        <v>138880</v>
      </c>
      <c r="E28" s="56">
        <f t="shared" si="4"/>
        <v>138880</v>
      </c>
      <c r="F28" s="57">
        <f t="shared" si="4"/>
        <v>178923</v>
      </c>
      <c r="G28" s="47">
        <f t="shared" si="4"/>
        <v>81300</v>
      </c>
      <c r="H28" s="56">
        <f t="shared" si="4"/>
        <v>37682</v>
      </c>
      <c r="I28" s="56">
        <f t="shared" si="4"/>
        <v>27005</v>
      </c>
      <c r="J28" s="56">
        <f t="shared" si="4"/>
        <v>16468</v>
      </c>
      <c r="K28" s="56">
        <f t="shared" si="4"/>
        <v>16468</v>
      </c>
    </row>
    <row r="29" spans="1:11" s="22" customFormat="1" ht="28.5" customHeight="1">
      <c r="A29" s="216" t="s">
        <v>142</v>
      </c>
      <c r="B29" s="50" t="s">
        <v>148</v>
      </c>
      <c r="C29" s="56"/>
      <c r="D29" s="56"/>
      <c r="E29" s="56"/>
      <c r="F29" s="48"/>
      <c r="G29" s="52"/>
      <c r="H29" s="51"/>
      <c r="I29" s="51"/>
      <c r="J29" s="55"/>
      <c r="K29" s="55"/>
    </row>
    <row r="30" spans="1:11" s="22" customFormat="1" ht="28.5" customHeight="1">
      <c r="A30" s="216" t="s">
        <v>142</v>
      </c>
      <c r="B30" s="50" t="s">
        <v>149</v>
      </c>
      <c r="C30" s="73"/>
      <c r="D30" s="73"/>
      <c r="E30" s="73"/>
      <c r="F30" s="48"/>
      <c r="G30" s="52"/>
      <c r="H30" s="51"/>
      <c r="I30" s="51"/>
      <c r="J30" s="55"/>
      <c r="K30" s="55"/>
    </row>
    <row r="31" spans="1:11" s="22" customFormat="1" ht="28.5" customHeight="1">
      <c r="A31" s="216" t="s">
        <v>142</v>
      </c>
      <c r="B31" s="50" t="s">
        <v>150</v>
      </c>
      <c r="C31" s="56"/>
      <c r="D31" s="56"/>
      <c r="E31" s="56"/>
      <c r="F31" s="48"/>
      <c r="G31" s="47"/>
      <c r="H31" s="56"/>
      <c r="I31" s="56"/>
      <c r="J31" s="55"/>
      <c r="K31" s="55"/>
    </row>
    <row r="32" spans="1:11" s="22" customFormat="1" ht="28.5" customHeight="1">
      <c r="A32" s="216" t="s">
        <v>142</v>
      </c>
      <c r="B32" s="50" t="s">
        <v>151</v>
      </c>
      <c r="C32" s="56"/>
      <c r="D32" s="56"/>
      <c r="E32" s="56"/>
      <c r="F32" s="48"/>
      <c r="G32" s="47"/>
      <c r="H32" s="56"/>
      <c r="I32" s="56"/>
      <c r="J32" s="55"/>
      <c r="K32" s="55"/>
    </row>
    <row r="33" spans="1:11" s="22" customFormat="1" ht="28.5" customHeight="1">
      <c r="A33" s="216" t="s">
        <v>142</v>
      </c>
      <c r="B33" s="50" t="s">
        <v>152</v>
      </c>
      <c r="C33" s="51">
        <v>90100</v>
      </c>
      <c r="D33" s="51">
        <v>138880</v>
      </c>
      <c r="E33" s="51">
        <v>138880</v>
      </c>
      <c r="F33" s="53">
        <f>G33+H33+I33+J33+K33</f>
        <v>178923</v>
      </c>
      <c r="G33" s="52">
        <v>81300</v>
      </c>
      <c r="H33" s="51">
        <v>37682</v>
      </c>
      <c r="I33" s="51">
        <f>I21</f>
        <v>27005</v>
      </c>
      <c r="J33" s="51">
        <f>J21</f>
        <v>16468</v>
      </c>
      <c r="K33" s="51">
        <f>K21</f>
        <v>16468</v>
      </c>
    </row>
    <row r="34" spans="1:253" s="22" customFormat="1" ht="28.5" customHeight="1">
      <c r="A34" s="216" t="s">
        <v>153</v>
      </c>
      <c r="B34" s="55" t="s">
        <v>154</v>
      </c>
      <c r="C34" s="56">
        <f aca="true" t="shared" si="5" ref="C34:K34">C38</f>
        <v>212500</v>
      </c>
      <c r="D34" s="56">
        <f t="shared" si="5"/>
        <v>212500</v>
      </c>
      <c r="E34" s="56">
        <f t="shared" si="5"/>
        <v>82727</v>
      </c>
      <c r="F34" s="57">
        <f t="shared" si="5"/>
        <v>684033</v>
      </c>
      <c r="G34" s="47">
        <f t="shared" si="5"/>
        <v>204799.66666666666</v>
      </c>
      <c r="H34" s="56">
        <f t="shared" si="5"/>
        <v>281989</v>
      </c>
      <c r="I34" s="56">
        <f t="shared" si="5"/>
        <v>197244.3333333333</v>
      </c>
      <c r="J34" s="56">
        <f t="shared" si="5"/>
        <v>0</v>
      </c>
      <c r="K34" s="56">
        <f t="shared" si="5"/>
        <v>0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</row>
    <row r="35" spans="1:11" s="22" customFormat="1" ht="28.5" customHeight="1">
      <c r="A35" s="54">
        <v>1</v>
      </c>
      <c r="B35" s="55" t="s">
        <v>155</v>
      </c>
      <c r="C35" s="56">
        <f aca="true" t="shared" si="6" ref="C35:K35">C36+C37</f>
        <v>212500</v>
      </c>
      <c r="D35" s="56">
        <f t="shared" si="6"/>
        <v>212500</v>
      </c>
      <c r="E35" s="56">
        <f t="shared" si="6"/>
        <v>82727</v>
      </c>
      <c r="F35" s="57">
        <f t="shared" si="6"/>
        <v>684033</v>
      </c>
      <c r="G35" s="47">
        <f t="shared" si="6"/>
        <v>204799.66666666666</v>
      </c>
      <c r="H35" s="56">
        <f t="shared" si="6"/>
        <v>281989</v>
      </c>
      <c r="I35" s="56">
        <f t="shared" si="6"/>
        <v>197244.3333333333</v>
      </c>
      <c r="J35" s="56">
        <f t="shared" si="6"/>
        <v>0</v>
      </c>
      <c r="K35" s="56">
        <f t="shared" si="6"/>
        <v>0</v>
      </c>
    </row>
    <row r="36" spans="1:11" s="23" customFormat="1" ht="28.5" customHeight="1">
      <c r="A36" s="216" t="s">
        <v>142</v>
      </c>
      <c r="B36" s="50" t="s">
        <v>34</v>
      </c>
      <c r="C36" s="51">
        <f aca="true" t="shared" si="7" ref="C36:K36">C40</f>
        <v>212500</v>
      </c>
      <c r="D36" s="51">
        <f t="shared" si="7"/>
        <v>212500</v>
      </c>
      <c r="E36" s="51">
        <v>82727</v>
      </c>
      <c r="F36" s="69">
        <f>F40</f>
        <v>684033</v>
      </c>
      <c r="G36" s="52">
        <f t="shared" si="7"/>
        <v>204799.66666666666</v>
      </c>
      <c r="H36" s="51">
        <f t="shared" si="7"/>
        <v>281989</v>
      </c>
      <c r="I36" s="51">
        <f t="shared" si="7"/>
        <v>197244.3333333333</v>
      </c>
      <c r="J36" s="51">
        <f t="shared" si="7"/>
        <v>0</v>
      </c>
      <c r="K36" s="51">
        <f t="shared" si="7"/>
        <v>0</v>
      </c>
    </row>
    <row r="37" spans="1:253" s="24" customFormat="1" ht="28.5" customHeight="1">
      <c r="A37" s="216" t="s">
        <v>142</v>
      </c>
      <c r="B37" s="50" t="s">
        <v>156</v>
      </c>
      <c r="C37" s="73"/>
      <c r="D37" s="73"/>
      <c r="E37" s="73"/>
      <c r="F37" s="48"/>
      <c r="G37" s="74"/>
      <c r="H37" s="73"/>
      <c r="I37" s="73"/>
      <c r="J37" s="50"/>
      <c r="K37" s="50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</row>
    <row r="38" spans="1:11" s="23" customFormat="1" ht="28.5" customHeight="1">
      <c r="A38" s="54">
        <v>2</v>
      </c>
      <c r="B38" s="55" t="s">
        <v>157</v>
      </c>
      <c r="C38" s="56">
        <f aca="true" t="shared" si="8" ref="C38:K38">SUM(C39:C41)</f>
        <v>212500</v>
      </c>
      <c r="D38" s="56">
        <f t="shared" si="8"/>
        <v>212500</v>
      </c>
      <c r="E38" s="56">
        <f>E40</f>
        <v>82727</v>
      </c>
      <c r="F38" s="57">
        <f t="shared" si="8"/>
        <v>684033</v>
      </c>
      <c r="G38" s="47">
        <f t="shared" si="8"/>
        <v>204799.66666666666</v>
      </c>
      <c r="H38" s="56">
        <f t="shared" si="8"/>
        <v>281989</v>
      </c>
      <c r="I38" s="56">
        <f t="shared" si="8"/>
        <v>197244.3333333333</v>
      </c>
      <c r="J38" s="56">
        <f t="shared" si="8"/>
        <v>0</v>
      </c>
      <c r="K38" s="56">
        <f t="shared" si="8"/>
        <v>0</v>
      </c>
    </row>
    <row r="39" spans="1:253" s="26" customFormat="1" ht="28.5" customHeight="1">
      <c r="A39" s="216" t="s">
        <v>142</v>
      </c>
      <c r="B39" s="50" t="s">
        <v>143</v>
      </c>
      <c r="C39" s="73"/>
      <c r="D39" s="73"/>
      <c r="E39" s="73"/>
      <c r="F39" s="48"/>
      <c r="G39" s="74"/>
      <c r="H39" s="73"/>
      <c r="I39" s="73"/>
      <c r="J39" s="50"/>
      <c r="K39" s="50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</row>
    <row r="40" spans="1:253" s="26" customFormat="1" ht="28.5" customHeight="1">
      <c r="A40" s="216" t="s">
        <v>142</v>
      </c>
      <c r="B40" s="50" t="s">
        <v>135</v>
      </c>
      <c r="C40" s="51">
        <v>212500</v>
      </c>
      <c r="D40" s="51">
        <v>212500</v>
      </c>
      <c r="E40" s="51">
        <v>82727</v>
      </c>
      <c r="F40" s="53">
        <f>G40+H40+I40+J40+K40</f>
        <v>684033</v>
      </c>
      <c r="G40" s="52">
        <f>'PL kèm theo trình'!AG11</f>
        <v>204799.66666666666</v>
      </c>
      <c r="H40" s="51">
        <f>'PL kèm theo trình'!AK11</f>
        <v>281989</v>
      </c>
      <c r="I40" s="51">
        <f>'PL kèm theo trình'!AO11</f>
        <v>197244.3333333333</v>
      </c>
      <c r="J40" s="51">
        <f>'PL kèm theo trình'!AS11</f>
        <v>0</v>
      </c>
      <c r="K40" s="51">
        <f>'PL kèm theo trình'!AW11</f>
        <v>0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</row>
    <row r="41" spans="1:11" s="23" customFormat="1" ht="28.5" customHeight="1">
      <c r="A41" s="216" t="s">
        <v>142</v>
      </c>
      <c r="B41" s="63" t="s">
        <v>144</v>
      </c>
      <c r="C41" s="73"/>
      <c r="D41" s="73"/>
      <c r="E41" s="73"/>
      <c r="F41" s="48"/>
      <c r="G41" s="74"/>
      <c r="H41" s="73"/>
      <c r="I41" s="73"/>
      <c r="J41" s="50"/>
      <c r="K41" s="50"/>
    </row>
    <row r="42" spans="1:253" s="22" customFormat="1" ht="28.5" customHeight="1">
      <c r="A42" s="54" t="s">
        <v>158</v>
      </c>
      <c r="B42" s="55" t="s">
        <v>159</v>
      </c>
      <c r="C42" s="75">
        <f aca="true" t="shared" si="9" ref="C42:K42">C44+C45+C46</f>
        <v>406630</v>
      </c>
      <c r="D42" s="75">
        <f t="shared" si="9"/>
        <v>351050</v>
      </c>
      <c r="E42" s="75">
        <f t="shared" si="9"/>
        <v>221277</v>
      </c>
      <c r="F42" s="76">
        <f t="shared" si="9"/>
        <v>3162425.333333333</v>
      </c>
      <c r="G42" s="77">
        <f t="shared" si="9"/>
        <v>344776.6666666666</v>
      </c>
      <c r="H42" s="75">
        <f t="shared" si="9"/>
        <v>589083.6666666666</v>
      </c>
      <c r="I42" s="75">
        <f t="shared" si="9"/>
        <v>759323</v>
      </c>
      <c r="J42" s="75">
        <f t="shared" si="9"/>
        <v>742855</v>
      </c>
      <c r="K42" s="75">
        <f t="shared" si="9"/>
        <v>726387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</row>
    <row r="43" spans="1:253" s="23" customFormat="1" ht="43.5" customHeight="1">
      <c r="A43" s="78"/>
      <c r="B43" s="58" t="s">
        <v>160</v>
      </c>
      <c r="C43" s="59">
        <f>+C42/C12</f>
        <v>0.3497471272276887</v>
      </c>
      <c r="D43" s="59">
        <f>+D42/D12</f>
        <v>0.30194213170026835</v>
      </c>
      <c r="E43" s="59">
        <f>+E42/E12</f>
        <v>0.19032288584600565</v>
      </c>
      <c r="F43" s="60">
        <f>+F42/F12</f>
        <v>0.44108189913823925</v>
      </c>
      <c r="G43" s="61">
        <f>+G42/G12</f>
        <v>0.3126658807170279</v>
      </c>
      <c r="H43" s="59"/>
      <c r="I43" s="59"/>
      <c r="J43" s="59"/>
      <c r="K43" s="59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</row>
    <row r="44" spans="1:253" s="23" customFormat="1" ht="28.5" customHeight="1">
      <c r="A44" s="49">
        <v>1</v>
      </c>
      <c r="B44" s="50" t="s">
        <v>143</v>
      </c>
      <c r="C44" s="75"/>
      <c r="D44" s="75"/>
      <c r="E44" s="75"/>
      <c r="F44" s="48">
        <f>G44+H44+I44+J44+K44</f>
        <v>0</v>
      </c>
      <c r="G44" s="77"/>
      <c r="H44" s="75"/>
      <c r="I44" s="75"/>
      <c r="J44" s="91"/>
      <c r="K44" s="91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</row>
    <row r="45" spans="1:253" s="23" customFormat="1" ht="28.5" customHeight="1">
      <c r="A45" s="78">
        <v>2</v>
      </c>
      <c r="B45" s="50" t="s">
        <v>135</v>
      </c>
      <c r="C45" s="51">
        <v>236080</v>
      </c>
      <c r="D45" s="51">
        <f>D17+D40-D24</f>
        <v>229299</v>
      </c>
      <c r="E45" s="51">
        <f>E17+E40-E24</f>
        <v>99526</v>
      </c>
      <c r="F45" s="69">
        <f>F17+F40-F24</f>
        <v>3105137.333333333</v>
      </c>
      <c r="G45" s="52">
        <f>G17+G40-G24</f>
        <v>303025.6666666666</v>
      </c>
      <c r="H45" s="51">
        <f>H17-H24+H40</f>
        <v>573546.6666666666</v>
      </c>
      <c r="I45" s="51">
        <f>I17-I24+I40</f>
        <v>759323</v>
      </c>
      <c r="J45" s="51">
        <f>J17-J24+J40</f>
        <v>742855</v>
      </c>
      <c r="K45" s="51">
        <f>K17-K24+K40</f>
        <v>726387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</row>
    <row r="46" spans="1:253" s="23" customFormat="1" ht="28.5" customHeight="1">
      <c r="A46" s="78">
        <v>3</v>
      </c>
      <c r="B46" s="63" t="s">
        <v>144</v>
      </c>
      <c r="C46" s="51">
        <v>170550</v>
      </c>
      <c r="D46" s="51">
        <f>D18-D25</f>
        <v>121751</v>
      </c>
      <c r="E46" s="51">
        <f>E18-E25+E41</f>
        <v>121751</v>
      </c>
      <c r="F46" s="69">
        <f>F18-F25</f>
        <v>57288</v>
      </c>
      <c r="G46" s="52">
        <f>G18-G25</f>
        <v>41751</v>
      </c>
      <c r="H46" s="51">
        <f>H18-H27</f>
        <v>15537</v>
      </c>
      <c r="I46" s="51">
        <f>I18-I25</f>
        <v>0</v>
      </c>
      <c r="J46" s="51">
        <f>J18-J25</f>
        <v>0</v>
      </c>
      <c r="K46" s="51">
        <f>K18-K25</f>
        <v>0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</row>
    <row r="47" spans="1:253" s="23" customFormat="1" ht="28.5" customHeight="1" hidden="1">
      <c r="A47" s="64" t="s">
        <v>145</v>
      </c>
      <c r="B47" s="65" t="s">
        <v>138</v>
      </c>
      <c r="C47" s="66">
        <f>C19-C26</f>
        <v>0</v>
      </c>
      <c r="D47" s="66">
        <f>D19-D26</f>
        <v>0</v>
      </c>
      <c r="E47" s="66">
        <f>E19-E26</f>
        <v>0</v>
      </c>
      <c r="F47" s="48">
        <f>G47+H47+I47+J47+K47</f>
        <v>0</v>
      </c>
      <c r="G47" s="52"/>
      <c r="H47" s="51"/>
      <c r="I47" s="51"/>
      <c r="J47" s="91"/>
      <c r="K47" s="91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</row>
    <row r="48" spans="1:253" s="23" customFormat="1" ht="28.5" customHeight="1" hidden="1">
      <c r="A48" s="64" t="s">
        <v>146</v>
      </c>
      <c r="B48" s="65" t="s">
        <v>139</v>
      </c>
      <c r="C48" s="66">
        <f aca="true" t="shared" si="10" ref="C48:K48">C20-C27</f>
        <v>170550</v>
      </c>
      <c r="D48" s="66">
        <f t="shared" si="10"/>
        <v>121751</v>
      </c>
      <c r="E48" s="66">
        <f t="shared" si="10"/>
        <v>121751</v>
      </c>
      <c r="F48" s="67">
        <f t="shared" si="10"/>
        <v>0</v>
      </c>
      <c r="G48" s="68">
        <f t="shared" si="10"/>
        <v>41751</v>
      </c>
      <c r="H48" s="66">
        <f t="shared" si="10"/>
        <v>15537</v>
      </c>
      <c r="I48" s="66">
        <f t="shared" si="10"/>
        <v>0</v>
      </c>
      <c r="J48" s="66">
        <f t="shared" si="10"/>
        <v>0</v>
      </c>
      <c r="K48" s="66">
        <f t="shared" si="10"/>
        <v>0</v>
      </c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</row>
    <row r="49" spans="1:11" s="23" customFormat="1" ht="28.5" customHeight="1">
      <c r="A49" s="54" t="s">
        <v>130</v>
      </c>
      <c r="B49" s="55" t="s">
        <v>161</v>
      </c>
      <c r="C49" s="56">
        <f aca="true" t="shared" si="11" ref="C49:K49">SUM(C50:C52)</f>
        <v>7600</v>
      </c>
      <c r="D49" s="56">
        <f t="shared" si="11"/>
        <v>7600</v>
      </c>
      <c r="E49" s="56">
        <f t="shared" si="11"/>
        <v>7600</v>
      </c>
      <c r="F49" s="57">
        <f t="shared" si="11"/>
        <v>153970</v>
      </c>
      <c r="G49" s="47">
        <f t="shared" si="11"/>
        <v>15400</v>
      </c>
      <c r="H49" s="56">
        <f t="shared" si="11"/>
        <v>23993</v>
      </c>
      <c r="I49" s="56">
        <f t="shared" si="11"/>
        <v>39570</v>
      </c>
      <c r="J49" s="56">
        <f t="shared" si="11"/>
        <v>37532</v>
      </c>
      <c r="K49" s="56">
        <f t="shared" si="11"/>
        <v>37475</v>
      </c>
    </row>
    <row r="50" spans="1:11" s="23" customFormat="1" ht="28.5" customHeight="1">
      <c r="A50" s="49">
        <v>1</v>
      </c>
      <c r="B50" s="50" t="s">
        <v>143</v>
      </c>
      <c r="C50" s="51"/>
      <c r="D50" s="51"/>
      <c r="E50" s="51"/>
      <c r="F50" s="48"/>
      <c r="G50" s="52"/>
      <c r="H50" s="51"/>
      <c r="I50" s="51"/>
      <c r="J50" s="50"/>
      <c r="K50" s="50"/>
    </row>
    <row r="51" spans="1:253" s="25" customFormat="1" ht="28.5" customHeight="1">
      <c r="A51" s="49">
        <v>2</v>
      </c>
      <c r="B51" s="50" t="s">
        <v>135</v>
      </c>
      <c r="C51" s="51">
        <v>7600</v>
      </c>
      <c r="D51" s="51">
        <f>C51</f>
        <v>7600</v>
      </c>
      <c r="E51" s="51">
        <f>D51</f>
        <v>7600</v>
      </c>
      <c r="F51" s="53">
        <f>G51+H51+I51+J51+K51</f>
        <v>153970</v>
      </c>
      <c r="G51" s="52">
        <f>'PL kèm theo trình'!AJ11</f>
        <v>15400</v>
      </c>
      <c r="H51" s="51">
        <f>'PL kèm theo trình'!AN11</f>
        <v>23993</v>
      </c>
      <c r="I51" s="51">
        <f>'PL kèm theo trình'!AR11</f>
        <v>39570</v>
      </c>
      <c r="J51" s="51">
        <f>'PL kèm theo trình'!AV11</f>
        <v>37532</v>
      </c>
      <c r="K51" s="51">
        <f>'PL kèm theo trình'!AZ11</f>
        <v>37475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</row>
    <row r="52" spans="1:253" s="25" customFormat="1" ht="28.5" customHeight="1">
      <c r="A52" s="79">
        <v>3</v>
      </c>
      <c r="B52" s="80" t="s">
        <v>144</v>
      </c>
      <c r="C52" s="81"/>
      <c r="D52" s="81"/>
      <c r="E52" s="81"/>
      <c r="F52" s="82"/>
      <c r="G52" s="83"/>
      <c r="H52" s="81"/>
      <c r="I52" s="81"/>
      <c r="J52" s="92"/>
      <c r="K52" s="92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</row>
    <row r="53" spans="1:253" s="23" customFormat="1" ht="48" customHeight="1">
      <c r="A53" s="277" t="s">
        <v>162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</row>
    <row r="54" spans="1:253" s="24" customFormat="1" ht="43.5" customHeight="1">
      <c r="A54" s="84"/>
      <c r="B54" s="84"/>
      <c r="C54" s="84"/>
      <c r="D54" s="84"/>
      <c r="E54" s="84"/>
      <c r="F54" s="85"/>
      <c r="G54" s="86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</row>
    <row r="55" spans="1:253" s="24" customFormat="1" ht="23.25" customHeight="1">
      <c r="A55" s="27"/>
      <c r="B55" s="27"/>
      <c r="C55" s="27"/>
      <c r="D55" s="27"/>
      <c r="E55" s="27"/>
      <c r="F55" s="28"/>
      <c r="G55" s="86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</row>
    <row r="56" spans="1:253" s="24" customFormat="1" ht="23.25" customHeight="1">
      <c r="A56" s="27"/>
      <c r="B56" s="87"/>
      <c r="C56" s="27"/>
      <c r="D56" s="27"/>
      <c r="E56" s="27"/>
      <c r="F56" s="28"/>
      <c r="G56" s="86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</row>
    <row r="57" spans="1:253" s="24" customFormat="1" ht="23.25" customHeight="1">
      <c r="A57" s="27"/>
      <c r="B57" s="87"/>
      <c r="C57" s="27"/>
      <c r="D57" s="27"/>
      <c r="E57" s="27"/>
      <c r="F57" s="28"/>
      <c r="G57" s="86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</row>
    <row r="58" spans="1:253" s="25" customFormat="1" ht="44.25" customHeight="1">
      <c r="A58" s="27"/>
      <c r="B58" s="87"/>
      <c r="C58" s="27"/>
      <c r="D58" s="27"/>
      <c r="E58" s="27"/>
      <c r="F58" s="28"/>
      <c r="G58" s="86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</row>
    <row r="59" spans="1:253" s="25" customFormat="1" ht="23.25" customHeight="1">
      <c r="A59" s="27"/>
      <c r="B59" s="87"/>
      <c r="C59" s="27"/>
      <c r="D59" s="27" t="s">
        <v>147</v>
      </c>
      <c r="E59" s="27"/>
      <c r="F59" s="28"/>
      <c r="G59" s="86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</row>
    <row r="60" spans="1:253" s="23" customFormat="1" ht="23.25" customHeight="1">
      <c r="A60" s="27"/>
      <c r="B60" s="87"/>
      <c r="C60" s="27"/>
      <c r="D60" s="27"/>
      <c r="E60" s="27"/>
      <c r="F60" s="28"/>
      <c r="G60" s="86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</row>
    <row r="61" spans="1:253" s="23" customFormat="1" ht="23.25" customHeight="1">
      <c r="A61" s="27"/>
      <c r="B61" s="87"/>
      <c r="C61" s="27"/>
      <c r="D61" s="27"/>
      <c r="E61" s="27"/>
      <c r="F61" s="28"/>
      <c r="G61" s="86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</row>
    <row r="62" spans="1:253" s="23" customFormat="1" ht="23.25" customHeight="1">
      <c r="A62" s="27"/>
      <c r="B62" s="27"/>
      <c r="C62" s="27"/>
      <c r="D62" s="27"/>
      <c r="E62" s="27"/>
      <c r="F62" s="28"/>
      <c r="G62" s="86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</row>
    <row r="63" spans="1:253" s="23" customFormat="1" ht="23.25" customHeight="1">
      <c r="A63" s="27"/>
      <c r="B63" s="27"/>
      <c r="C63" s="27"/>
      <c r="D63" s="27"/>
      <c r="E63" s="27"/>
      <c r="F63" s="28"/>
      <c r="G63" s="86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</row>
    <row r="64" ht="66" customHeight="1">
      <c r="G64" s="86"/>
    </row>
    <row r="65" ht="15.75" customHeight="1" hidden="1">
      <c r="G65" s="86"/>
    </row>
    <row r="66" ht="15.75" customHeight="1" hidden="1">
      <c r="G66" s="86"/>
    </row>
    <row r="67" ht="15.75" customHeight="1" hidden="1">
      <c r="G67" s="86"/>
    </row>
    <row r="68" ht="15.75" customHeight="1" hidden="1">
      <c r="G68" s="86"/>
    </row>
    <row r="69" ht="15.75" customHeight="1" hidden="1">
      <c r="G69" s="86"/>
    </row>
    <row r="70" ht="15.75" customHeight="1" hidden="1">
      <c r="G70" s="86"/>
    </row>
    <row r="71" ht="15.75" customHeight="1" hidden="1">
      <c r="G71" s="86"/>
    </row>
    <row r="72" ht="15.75" customHeight="1">
      <c r="G72" s="86"/>
    </row>
    <row r="73" ht="15.75" customHeight="1">
      <c r="G73" s="86"/>
    </row>
    <row r="74" ht="15.75" customHeight="1">
      <c r="G74" s="86"/>
    </row>
    <row r="75" ht="15.75" customHeight="1">
      <c r="G75" s="86"/>
    </row>
    <row r="76" ht="15.75" customHeight="1">
      <c r="G76" s="86"/>
    </row>
    <row r="77" ht="15.75" customHeight="1">
      <c r="G77" s="86"/>
    </row>
    <row r="78" ht="15.75" customHeight="1">
      <c r="G78" s="86"/>
    </row>
    <row r="79" ht="15.75" customHeight="1">
      <c r="G79" s="86"/>
    </row>
    <row r="80" ht="15.75" customHeight="1">
      <c r="G80" s="86"/>
    </row>
    <row r="81" ht="15.75" customHeight="1">
      <c r="G81" s="86"/>
    </row>
    <row r="82" ht="15.75" customHeight="1">
      <c r="G82" s="86"/>
    </row>
    <row r="83" ht="15.75" customHeight="1">
      <c r="G83" s="86"/>
    </row>
    <row r="84" ht="15.75" customHeight="1">
      <c r="G84" s="86"/>
    </row>
    <row r="85" ht="15.75" customHeight="1">
      <c r="G85" s="86"/>
    </row>
    <row r="86" ht="15.75" customHeight="1">
      <c r="G86" s="86"/>
    </row>
    <row r="87" ht="15.75" customHeight="1">
      <c r="G87" s="86"/>
    </row>
  </sheetData>
  <sheetProtection/>
  <mergeCells count="14">
    <mergeCell ref="A53:K53"/>
    <mergeCell ref="A4:A5"/>
    <mergeCell ref="B4:B5"/>
    <mergeCell ref="F4:F5"/>
    <mergeCell ref="G4:G5"/>
    <mergeCell ref="H4:H5"/>
    <mergeCell ref="I4:I5"/>
    <mergeCell ref="J4:J5"/>
    <mergeCell ref="K4:K5"/>
    <mergeCell ref="H7:K8"/>
    <mergeCell ref="B1:K1"/>
    <mergeCell ref="A2:K2"/>
    <mergeCell ref="J3:K3"/>
    <mergeCell ref="C4:E4"/>
  </mergeCells>
  <printOptions horizontalCentered="1"/>
  <pageMargins left="0.35433070866141736" right="0.2755905511811024" top="0.35433070866141736" bottom="0.5511811023622047" header="0.1968503937007874" footer="0.31496062992125984"/>
  <pageSetup horizontalDpi="600" verticalDpi="600" orientation="landscape" paperSize="9" scale="60" r:id="rId1"/>
  <headerFooter>
    <oddFooter>&amp;R&amp;14&amp;P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H32"/>
  <sheetViews>
    <sheetView zoomScalePageLayoutView="0" workbookViewId="0" topLeftCell="A1">
      <selection activeCell="L29" sqref="L29"/>
    </sheetView>
  </sheetViews>
  <sheetFormatPr defaultColWidth="8.75390625" defaultRowHeight="15.75"/>
  <cols>
    <col min="1" max="1" width="10.25390625" style="0" customWidth="1"/>
    <col min="2" max="2" width="11.75390625" style="0" customWidth="1"/>
    <col min="3" max="3" width="10.375" style="0" customWidth="1"/>
    <col min="4" max="4" width="15.375" style="0" customWidth="1"/>
    <col min="5" max="5" width="8.75390625" style="0" customWidth="1"/>
    <col min="6" max="6" width="11.125" style="0" bestFit="1" customWidth="1"/>
    <col min="7" max="7" width="8.75390625" style="0" customWidth="1"/>
    <col min="8" max="8" width="11.125" style="0" customWidth="1"/>
    <col min="9" max="9" width="10.625" style="0" customWidth="1"/>
    <col min="10" max="11" width="8.75390625" style="0" customWidth="1"/>
    <col min="12" max="12" width="11.375" style="0" customWidth="1"/>
    <col min="13" max="13" width="8.75390625" style="0" customWidth="1"/>
    <col min="14" max="14" width="10.125" style="0" customWidth="1"/>
    <col min="15" max="15" width="10.125" style="0" bestFit="1" customWidth="1"/>
    <col min="16" max="17" width="8.75390625" style="0" customWidth="1"/>
    <col min="18" max="18" width="10.75390625" style="0" customWidth="1"/>
    <col min="19" max="19" width="8.75390625" style="0" customWidth="1"/>
    <col min="20" max="20" width="10.625" style="0" customWidth="1"/>
    <col min="21" max="21" width="11.125" style="0" bestFit="1" customWidth="1"/>
    <col min="22" max="24" width="8.75390625" style="0" customWidth="1"/>
    <col min="25" max="25" width="10.00390625" style="0" customWidth="1"/>
    <col min="26" max="26" width="11.25390625" style="0" customWidth="1"/>
    <col min="27" max="27" width="8.75390625" style="0" customWidth="1"/>
    <col min="28" max="28" width="9.75390625" style="0" customWidth="1"/>
    <col min="29" max="29" width="11.125" style="0" bestFit="1" customWidth="1"/>
    <col min="30" max="32" width="8.75390625" style="0" customWidth="1"/>
    <col min="33" max="33" width="9.75390625" style="0" customWidth="1"/>
    <col min="34" max="34" width="11.125" style="0" customWidth="1"/>
  </cols>
  <sheetData>
    <row r="2" ht="15.75">
      <c r="B2" s="1" t="s">
        <v>163</v>
      </c>
    </row>
    <row r="4" spans="1:34" ht="24" customHeight="1">
      <c r="A4" s="2" t="s">
        <v>164</v>
      </c>
      <c r="B4" s="281" t="s">
        <v>165</v>
      </c>
      <c r="C4" s="281"/>
      <c r="D4" s="281"/>
      <c r="E4" s="281"/>
      <c r="F4" s="281"/>
      <c r="H4" s="2" t="s">
        <v>164</v>
      </c>
      <c r="I4" s="281" t="s">
        <v>166</v>
      </c>
      <c r="J4" s="281"/>
      <c r="K4" s="281"/>
      <c r="L4" s="281"/>
      <c r="N4" s="282" t="s">
        <v>164</v>
      </c>
      <c r="O4" s="281" t="s">
        <v>167</v>
      </c>
      <c r="P4" s="281"/>
      <c r="Q4" s="281"/>
      <c r="R4" s="281"/>
      <c r="T4" s="2" t="s">
        <v>164</v>
      </c>
      <c r="U4" s="281" t="s">
        <v>168</v>
      </c>
      <c r="V4" s="281"/>
      <c r="W4" s="281"/>
      <c r="X4" s="281"/>
      <c r="Y4" s="281"/>
      <c r="Z4" s="281"/>
      <c r="AB4" s="2" t="s">
        <v>164</v>
      </c>
      <c r="AC4" s="281" t="s">
        <v>169</v>
      </c>
      <c r="AD4" s="281"/>
      <c r="AE4" s="281"/>
      <c r="AF4" s="281"/>
      <c r="AG4" s="281"/>
      <c r="AH4" s="281"/>
    </row>
    <row r="5" spans="1:34" ht="58.5" customHeight="1">
      <c r="A5" s="2"/>
      <c r="B5" s="2" t="s">
        <v>170</v>
      </c>
      <c r="C5" s="2" t="s">
        <v>171</v>
      </c>
      <c r="D5" s="3" t="s">
        <v>172</v>
      </c>
      <c r="E5" s="2" t="s">
        <v>173</v>
      </c>
      <c r="F5" s="2" t="s">
        <v>174</v>
      </c>
      <c r="H5" s="2"/>
      <c r="I5" s="11" t="s">
        <v>170</v>
      </c>
      <c r="J5" s="2" t="s">
        <v>171</v>
      </c>
      <c r="K5" s="2" t="s">
        <v>173</v>
      </c>
      <c r="L5" s="11" t="s">
        <v>174</v>
      </c>
      <c r="N5" s="283"/>
      <c r="O5" s="11" t="s">
        <v>170</v>
      </c>
      <c r="P5" s="2" t="s">
        <v>171</v>
      </c>
      <c r="Q5" s="2" t="s">
        <v>173</v>
      </c>
      <c r="R5" s="11" t="s">
        <v>174</v>
      </c>
      <c r="T5" s="2"/>
      <c r="U5" s="11" t="s">
        <v>170</v>
      </c>
      <c r="V5" s="2" t="s">
        <v>171</v>
      </c>
      <c r="W5" s="2" t="s">
        <v>173</v>
      </c>
      <c r="X5" s="2" t="s">
        <v>175</v>
      </c>
      <c r="Y5" s="14" t="s">
        <v>176</v>
      </c>
      <c r="Z5" s="11" t="s">
        <v>174</v>
      </c>
      <c r="AB5" s="2"/>
      <c r="AC5" s="11" t="s">
        <v>170</v>
      </c>
      <c r="AD5" s="2" t="s">
        <v>171</v>
      </c>
      <c r="AE5" s="2" t="s">
        <v>173</v>
      </c>
      <c r="AF5" s="2" t="s">
        <v>175</v>
      </c>
      <c r="AG5" s="3" t="s">
        <v>177</v>
      </c>
      <c r="AH5" s="11" t="s">
        <v>174</v>
      </c>
    </row>
    <row r="6" spans="1:34" ht="15.75">
      <c r="A6" s="2" t="s">
        <v>178</v>
      </c>
      <c r="B6" s="4">
        <v>340000</v>
      </c>
      <c r="C6" s="2">
        <v>0</v>
      </c>
      <c r="D6" s="2"/>
      <c r="E6" s="5">
        <v>0.02</v>
      </c>
      <c r="F6" s="6">
        <f aca="true" t="shared" si="0" ref="F6:F26">B6-C6</f>
        <v>340000</v>
      </c>
      <c r="H6" s="2" t="s">
        <v>179</v>
      </c>
      <c r="I6" s="8">
        <v>1549407</v>
      </c>
      <c r="J6" s="8"/>
      <c r="K6" s="12">
        <v>0.0225</v>
      </c>
      <c r="L6" s="8">
        <f>I6-J6</f>
        <v>1549407</v>
      </c>
      <c r="N6" s="2" t="s">
        <v>179</v>
      </c>
      <c r="O6" s="8">
        <v>6923443</v>
      </c>
      <c r="P6" s="8"/>
      <c r="Q6" s="12">
        <v>0.02</v>
      </c>
      <c r="R6" s="8">
        <f>O6-P6</f>
        <v>6923443</v>
      </c>
      <c r="T6" s="2" t="s">
        <v>180</v>
      </c>
      <c r="U6" s="8">
        <v>4000000</v>
      </c>
      <c r="V6" s="8"/>
      <c r="W6" s="12">
        <v>0.02</v>
      </c>
      <c r="X6" s="12"/>
      <c r="Y6" s="15">
        <v>0.005</v>
      </c>
      <c r="Z6" s="8">
        <f>U6-V6</f>
        <v>4000000</v>
      </c>
      <c r="AB6" s="2" t="s">
        <v>181</v>
      </c>
      <c r="AC6" s="8">
        <v>14000000</v>
      </c>
      <c r="AD6" s="8"/>
      <c r="AE6" s="16">
        <v>0.045</v>
      </c>
      <c r="AF6" s="16"/>
      <c r="AG6" s="18">
        <v>0.0025</v>
      </c>
      <c r="AH6" s="8">
        <f>AC6-AD6</f>
        <v>14000000</v>
      </c>
    </row>
    <row r="7" spans="1:34" ht="15.75">
      <c r="A7" s="2">
        <v>2021</v>
      </c>
      <c r="B7" s="7">
        <f aca="true" t="shared" si="1" ref="B7:B26">F6</f>
        <v>340000</v>
      </c>
      <c r="C7" s="8">
        <f>F6/20</f>
        <v>17000</v>
      </c>
      <c r="D7" s="8">
        <f>C7*75000</f>
        <v>1275000000</v>
      </c>
      <c r="E7" s="7">
        <f>B7*E6</f>
        <v>6800</v>
      </c>
      <c r="F7" s="7">
        <f t="shared" si="0"/>
        <v>323000</v>
      </c>
      <c r="H7" s="2"/>
      <c r="I7" s="8"/>
      <c r="J7" s="8"/>
      <c r="K7" s="12"/>
      <c r="L7" s="8"/>
      <c r="N7" s="2"/>
      <c r="O7" s="8"/>
      <c r="P7" s="8"/>
      <c r="Q7" s="12"/>
      <c r="R7" s="8"/>
      <c r="T7" s="2"/>
      <c r="U7" s="8"/>
      <c r="V7" s="8"/>
      <c r="W7" s="12"/>
      <c r="X7" s="12"/>
      <c r="Y7" s="15"/>
      <c r="Z7" s="8"/>
      <c r="AB7" s="2"/>
      <c r="AC7" s="8"/>
      <c r="AD7" s="8"/>
      <c r="AE7" s="16"/>
      <c r="AF7" s="16"/>
      <c r="AG7" s="18"/>
      <c r="AH7" s="8"/>
    </row>
    <row r="8" spans="1:34" ht="15.75">
      <c r="A8" s="2">
        <v>2022</v>
      </c>
      <c r="B8" s="7">
        <f t="shared" si="1"/>
        <v>323000</v>
      </c>
      <c r="C8" s="7">
        <v>17000</v>
      </c>
      <c r="D8" s="8">
        <v>1275000000</v>
      </c>
      <c r="E8" s="7">
        <f>B8*E6</f>
        <v>6460</v>
      </c>
      <c r="F8" s="7">
        <f t="shared" si="0"/>
        <v>306000</v>
      </c>
      <c r="H8" s="2">
        <v>2022</v>
      </c>
      <c r="I8" s="8">
        <f>L6</f>
        <v>1549407</v>
      </c>
      <c r="J8" s="8">
        <f>I8/20</f>
        <v>77470.35</v>
      </c>
      <c r="K8" s="8">
        <f>L6*K6</f>
        <v>34861.6575</v>
      </c>
      <c r="L8" s="8">
        <f aca="true" t="shared" si="2" ref="L8:L27">I8-J8</f>
        <v>1471936.65</v>
      </c>
      <c r="N8" s="2">
        <v>2022</v>
      </c>
      <c r="O8" s="8">
        <f>R6</f>
        <v>6923443</v>
      </c>
      <c r="P8" s="8">
        <f>R6/20</f>
        <v>346172.15</v>
      </c>
      <c r="Q8" s="8">
        <f>O8*Q6</f>
        <v>138468.86000000002</v>
      </c>
      <c r="R8" s="8">
        <f aca="true" t="shared" si="3" ref="R8:R27">O8-P8</f>
        <v>6577270.85</v>
      </c>
      <c r="T8" s="2"/>
      <c r="U8" s="8"/>
      <c r="V8" s="8"/>
      <c r="W8" s="12"/>
      <c r="X8" s="12"/>
      <c r="Y8" s="15"/>
      <c r="Z8" s="8"/>
      <c r="AB8" s="2"/>
      <c r="AC8" s="8"/>
      <c r="AD8" s="8"/>
      <c r="AE8" s="16"/>
      <c r="AF8" s="16"/>
      <c r="AG8" s="18"/>
      <c r="AH8" s="8"/>
    </row>
    <row r="9" spans="1:34" ht="15.75">
      <c r="A9" s="2">
        <v>2023</v>
      </c>
      <c r="B9" s="7">
        <f t="shared" si="1"/>
        <v>306000</v>
      </c>
      <c r="C9" s="7">
        <v>17000</v>
      </c>
      <c r="D9" s="7"/>
      <c r="E9" s="7">
        <f>B9*$E$6</f>
        <v>6120</v>
      </c>
      <c r="F9" s="7">
        <f t="shared" si="0"/>
        <v>289000</v>
      </c>
      <c r="H9" s="2">
        <v>2023</v>
      </c>
      <c r="I9" s="8">
        <f aca="true" t="shared" si="4" ref="I9:I27">L8</f>
        <v>1471936.65</v>
      </c>
      <c r="J9" s="8">
        <v>77470.35</v>
      </c>
      <c r="K9" s="8">
        <f>L8*$K$6</f>
        <v>33118.574624999994</v>
      </c>
      <c r="L9" s="8">
        <f t="shared" si="2"/>
        <v>1394466.2999999998</v>
      </c>
      <c r="N9" s="2">
        <v>2023</v>
      </c>
      <c r="O9" s="8">
        <f>R8</f>
        <v>6577270.85</v>
      </c>
      <c r="P9" s="8">
        <v>346172.15</v>
      </c>
      <c r="Q9" s="8">
        <f>O9*$Q$6</f>
        <v>131545.417</v>
      </c>
      <c r="R9" s="8">
        <f t="shared" si="3"/>
        <v>6231098.699999999</v>
      </c>
      <c r="T9" s="2"/>
      <c r="U9" s="8"/>
      <c r="V9" s="8"/>
      <c r="W9" s="12"/>
      <c r="X9" s="12"/>
      <c r="Y9" s="15"/>
      <c r="Z9" s="8"/>
      <c r="AB9" s="2"/>
      <c r="AC9" s="8"/>
      <c r="AD9" s="8"/>
      <c r="AE9" s="16"/>
      <c r="AF9" s="16"/>
      <c r="AG9" s="18"/>
      <c r="AH9" s="8"/>
    </row>
    <row r="10" spans="1:34" ht="15.75">
      <c r="A10" s="2">
        <v>2024</v>
      </c>
      <c r="B10" s="7">
        <f t="shared" si="1"/>
        <v>289000</v>
      </c>
      <c r="C10" s="7">
        <v>17000</v>
      </c>
      <c r="D10" s="7"/>
      <c r="E10" s="7">
        <f aca="true" t="shared" si="5" ref="E10:E26">B10*$E$6</f>
        <v>5780</v>
      </c>
      <c r="F10" s="7">
        <f t="shared" si="0"/>
        <v>272000</v>
      </c>
      <c r="H10" s="2">
        <v>2024</v>
      </c>
      <c r="I10" s="8">
        <f t="shared" si="4"/>
        <v>1394466.2999999998</v>
      </c>
      <c r="J10" s="8">
        <v>77470.35</v>
      </c>
      <c r="K10" s="8">
        <f aca="true" t="shared" si="6" ref="K10:K27">L9*$K$6</f>
        <v>31375.491749999994</v>
      </c>
      <c r="L10" s="8">
        <f t="shared" si="2"/>
        <v>1316995.9499999997</v>
      </c>
      <c r="N10" s="2">
        <v>2024</v>
      </c>
      <c r="O10" s="8">
        <f aca="true" t="shared" si="7" ref="O10:O27">R9</f>
        <v>6231098.699999999</v>
      </c>
      <c r="P10" s="8">
        <v>346172.15</v>
      </c>
      <c r="Q10" s="8">
        <f aca="true" t="shared" si="8" ref="Q10:Q27">O10*$Q$6</f>
        <v>124621.97399999999</v>
      </c>
      <c r="R10" s="8">
        <f t="shared" si="3"/>
        <v>5884926.549999999</v>
      </c>
      <c r="T10" s="2">
        <v>2024</v>
      </c>
      <c r="U10" s="8">
        <f>Z6</f>
        <v>4000000</v>
      </c>
      <c r="V10" s="8">
        <f>Z6/20</f>
        <v>200000</v>
      </c>
      <c r="W10" s="8">
        <f>U10*W6</f>
        <v>80000</v>
      </c>
      <c r="X10" s="8"/>
      <c r="Y10" s="17">
        <f>U10*$Y$6</f>
        <v>20000</v>
      </c>
      <c r="Z10" s="8">
        <f aca="true" t="shared" si="9" ref="Z10:Z29">U10-V10</f>
        <v>3800000</v>
      </c>
      <c r="AB10" s="2"/>
      <c r="AC10" s="8"/>
      <c r="AD10" s="8"/>
      <c r="AE10" s="16"/>
      <c r="AF10" s="16"/>
      <c r="AG10" s="18"/>
      <c r="AH10" s="8"/>
    </row>
    <row r="11" spans="1:34" ht="15.75">
      <c r="A11" s="2">
        <v>2025</v>
      </c>
      <c r="B11" s="7">
        <f t="shared" si="1"/>
        <v>272000</v>
      </c>
      <c r="C11" s="7">
        <v>17000</v>
      </c>
      <c r="D11" s="7"/>
      <c r="E11" s="7">
        <f t="shared" si="5"/>
        <v>5440</v>
      </c>
      <c r="F11" s="7">
        <f t="shared" si="0"/>
        <v>255000</v>
      </c>
      <c r="H11" s="2">
        <v>2025</v>
      </c>
      <c r="I11" s="8">
        <f t="shared" si="4"/>
        <v>1316995.9499999997</v>
      </c>
      <c r="J11" s="8">
        <v>77470.35</v>
      </c>
      <c r="K11" s="8">
        <f t="shared" si="6"/>
        <v>29632.408874999994</v>
      </c>
      <c r="L11" s="8">
        <f t="shared" si="2"/>
        <v>1239525.5999999996</v>
      </c>
      <c r="N11" s="2">
        <v>2025</v>
      </c>
      <c r="O11" s="8">
        <f t="shared" si="7"/>
        <v>5884926.549999999</v>
      </c>
      <c r="P11" s="8">
        <v>346172.15</v>
      </c>
      <c r="Q11" s="8">
        <f t="shared" si="8"/>
        <v>117698.53099999997</v>
      </c>
      <c r="R11" s="8">
        <f t="shared" si="3"/>
        <v>5538754.3999999985</v>
      </c>
      <c r="T11" s="2">
        <v>2025</v>
      </c>
      <c r="U11" s="8">
        <f aca="true" t="shared" si="10" ref="U11:U29">Z10</f>
        <v>3800000</v>
      </c>
      <c r="V11" s="8">
        <v>200000</v>
      </c>
      <c r="W11" s="8">
        <f>U11*$W$6</f>
        <v>76000</v>
      </c>
      <c r="X11" s="8"/>
      <c r="Y11" s="17">
        <v>20000</v>
      </c>
      <c r="Z11" s="8">
        <f t="shared" si="9"/>
        <v>3600000</v>
      </c>
      <c r="AB11" s="2">
        <v>2027</v>
      </c>
      <c r="AC11" s="8">
        <f>AH6</f>
        <v>14000000</v>
      </c>
      <c r="AD11" s="8">
        <f>AH6/21</f>
        <v>666666.6666666666</v>
      </c>
      <c r="AE11" s="8">
        <f>AC11*$AE$6</f>
        <v>630000</v>
      </c>
      <c r="AF11" s="8"/>
      <c r="AG11" s="17">
        <f>AC11*AG6</f>
        <v>35000</v>
      </c>
      <c r="AH11" s="8">
        <f aca="true" t="shared" si="11" ref="AH11:AH31">AC11-AD11</f>
        <v>13333333.333333334</v>
      </c>
    </row>
    <row r="12" spans="1:34" ht="15.75">
      <c r="A12" s="2">
        <v>2026</v>
      </c>
      <c r="B12" s="7">
        <f t="shared" si="1"/>
        <v>255000</v>
      </c>
      <c r="C12" s="7">
        <v>17000</v>
      </c>
      <c r="D12" s="7"/>
      <c r="E12" s="7">
        <f t="shared" si="5"/>
        <v>5100</v>
      </c>
      <c r="F12" s="7">
        <f t="shared" si="0"/>
        <v>238000</v>
      </c>
      <c r="H12" s="2">
        <v>2026</v>
      </c>
      <c r="I12" s="8">
        <f t="shared" si="4"/>
        <v>1239525.5999999996</v>
      </c>
      <c r="J12" s="8">
        <v>77470.35</v>
      </c>
      <c r="K12" s="8">
        <f t="shared" si="6"/>
        <v>27889.32599999999</v>
      </c>
      <c r="L12" s="8">
        <f t="shared" si="2"/>
        <v>1162055.2499999995</v>
      </c>
      <c r="N12" s="2">
        <v>2026</v>
      </c>
      <c r="O12" s="8">
        <f t="shared" si="7"/>
        <v>5538754.3999999985</v>
      </c>
      <c r="P12" s="8">
        <v>346172.15</v>
      </c>
      <c r="Q12" s="8">
        <f t="shared" si="8"/>
        <v>110775.08799999997</v>
      </c>
      <c r="R12" s="8">
        <f t="shared" si="3"/>
        <v>5192582.249999998</v>
      </c>
      <c r="T12" s="2">
        <v>2026</v>
      </c>
      <c r="U12" s="8">
        <f t="shared" si="10"/>
        <v>3600000</v>
      </c>
      <c r="V12" s="8">
        <v>200000</v>
      </c>
      <c r="W12" s="8">
        <f aca="true" t="shared" si="12" ref="W12:W29">U12*$W$6</f>
        <v>72000</v>
      </c>
      <c r="X12" s="8"/>
      <c r="Y12" s="17">
        <v>20000</v>
      </c>
      <c r="Z12" s="8">
        <f t="shared" si="9"/>
        <v>3400000</v>
      </c>
      <c r="AB12" s="2">
        <v>2028</v>
      </c>
      <c r="AC12" s="8">
        <f aca="true" t="shared" si="13" ref="AC12:AC31">AH11</f>
        <v>13333333.333333334</v>
      </c>
      <c r="AD12" s="8">
        <v>666666.6666666666</v>
      </c>
      <c r="AE12" s="8">
        <f aca="true" t="shared" si="14" ref="AE12:AE31">AC12*$AE$6</f>
        <v>600000</v>
      </c>
      <c r="AF12" s="8"/>
      <c r="AG12" s="17">
        <v>35000</v>
      </c>
      <c r="AH12" s="8">
        <f t="shared" si="11"/>
        <v>12666666.666666668</v>
      </c>
    </row>
    <row r="13" spans="1:34" ht="15.75">
      <c r="A13" s="2">
        <v>2027</v>
      </c>
      <c r="B13" s="7">
        <f t="shared" si="1"/>
        <v>238000</v>
      </c>
      <c r="C13" s="7">
        <v>17000</v>
      </c>
      <c r="D13" s="7"/>
      <c r="E13" s="7">
        <f t="shared" si="5"/>
        <v>4760</v>
      </c>
      <c r="F13" s="7">
        <f t="shared" si="0"/>
        <v>221000</v>
      </c>
      <c r="H13" s="2">
        <v>2027</v>
      </c>
      <c r="I13" s="8">
        <f t="shared" si="4"/>
        <v>1162055.2499999995</v>
      </c>
      <c r="J13" s="8">
        <v>77470.35</v>
      </c>
      <c r="K13" s="8">
        <f t="shared" si="6"/>
        <v>26146.24312499999</v>
      </c>
      <c r="L13" s="8">
        <f t="shared" si="2"/>
        <v>1084584.8999999994</v>
      </c>
      <c r="N13" s="2">
        <v>2027</v>
      </c>
      <c r="O13" s="8">
        <f t="shared" si="7"/>
        <v>5192582.249999998</v>
      </c>
      <c r="P13" s="8">
        <v>346172.15</v>
      </c>
      <c r="Q13" s="8">
        <f t="shared" si="8"/>
        <v>103851.64499999996</v>
      </c>
      <c r="R13" s="8">
        <f t="shared" si="3"/>
        <v>4846410.099999998</v>
      </c>
      <c r="T13" s="2">
        <v>2027</v>
      </c>
      <c r="U13" s="8">
        <f t="shared" si="10"/>
        <v>3400000</v>
      </c>
      <c r="V13" s="8">
        <v>200000</v>
      </c>
      <c r="W13" s="8">
        <f t="shared" si="12"/>
        <v>68000</v>
      </c>
      <c r="X13" s="8"/>
      <c r="Y13" s="17">
        <v>20000</v>
      </c>
      <c r="Z13" s="8">
        <f t="shared" si="9"/>
        <v>3200000</v>
      </c>
      <c r="AB13" s="2">
        <v>2029</v>
      </c>
      <c r="AC13" s="8">
        <f t="shared" si="13"/>
        <v>12666666.666666668</v>
      </c>
      <c r="AD13" s="8">
        <v>666666.6666666666</v>
      </c>
      <c r="AE13" s="8">
        <f t="shared" si="14"/>
        <v>570000</v>
      </c>
      <c r="AF13" s="8"/>
      <c r="AG13" s="17">
        <v>35000</v>
      </c>
      <c r="AH13" s="8">
        <f t="shared" si="11"/>
        <v>12000000.000000002</v>
      </c>
    </row>
    <row r="14" spans="1:34" ht="15.75">
      <c r="A14" s="2">
        <v>2028</v>
      </c>
      <c r="B14" s="7">
        <f t="shared" si="1"/>
        <v>221000</v>
      </c>
      <c r="C14" s="7">
        <v>17000</v>
      </c>
      <c r="D14" s="7"/>
      <c r="E14" s="7">
        <f t="shared" si="5"/>
        <v>4420</v>
      </c>
      <c r="F14" s="7">
        <f t="shared" si="0"/>
        <v>204000</v>
      </c>
      <c r="H14" s="2">
        <v>2028</v>
      </c>
      <c r="I14" s="8">
        <f t="shared" si="4"/>
        <v>1084584.8999999994</v>
      </c>
      <c r="J14" s="8">
        <v>77470.35</v>
      </c>
      <c r="K14" s="8">
        <f t="shared" si="6"/>
        <v>24403.160249999986</v>
      </c>
      <c r="L14" s="8">
        <f t="shared" si="2"/>
        <v>1007114.5499999995</v>
      </c>
      <c r="N14" s="2">
        <v>2028</v>
      </c>
      <c r="O14" s="8">
        <f t="shared" si="7"/>
        <v>4846410.099999998</v>
      </c>
      <c r="P14" s="8">
        <v>346172.15</v>
      </c>
      <c r="Q14" s="8">
        <f t="shared" si="8"/>
        <v>96928.20199999996</v>
      </c>
      <c r="R14" s="8">
        <f t="shared" si="3"/>
        <v>4500237.949999997</v>
      </c>
      <c r="T14" s="2">
        <v>2028</v>
      </c>
      <c r="U14" s="8">
        <f t="shared" si="10"/>
        <v>3200000</v>
      </c>
      <c r="V14" s="8">
        <v>200000</v>
      </c>
      <c r="W14" s="8">
        <f t="shared" si="12"/>
        <v>64000</v>
      </c>
      <c r="X14" s="8"/>
      <c r="Y14" s="17">
        <v>20000</v>
      </c>
      <c r="Z14" s="8">
        <f t="shared" si="9"/>
        <v>3000000</v>
      </c>
      <c r="AB14" s="2">
        <v>2030</v>
      </c>
      <c r="AC14" s="8">
        <f t="shared" si="13"/>
        <v>12000000.000000002</v>
      </c>
      <c r="AD14" s="8">
        <v>666666.6666666666</v>
      </c>
      <c r="AE14" s="8">
        <f t="shared" si="14"/>
        <v>540000.0000000001</v>
      </c>
      <c r="AF14" s="8"/>
      <c r="AG14" s="17">
        <v>35000</v>
      </c>
      <c r="AH14" s="8">
        <f t="shared" si="11"/>
        <v>11333333.333333336</v>
      </c>
    </row>
    <row r="15" spans="1:34" ht="15.75">
      <c r="A15" s="2">
        <v>2029</v>
      </c>
      <c r="B15" s="7">
        <f t="shared" si="1"/>
        <v>204000</v>
      </c>
      <c r="C15" s="7">
        <v>17000</v>
      </c>
      <c r="D15" s="7"/>
      <c r="E15" s="7">
        <f t="shared" si="5"/>
        <v>4080</v>
      </c>
      <c r="F15" s="7">
        <f t="shared" si="0"/>
        <v>187000</v>
      </c>
      <c r="H15" s="2">
        <v>2029</v>
      </c>
      <c r="I15" s="8">
        <f t="shared" si="4"/>
        <v>1007114.5499999995</v>
      </c>
      <c r="J15" s="8">
        <v>77470.35</v>
      </c>
      <c r="K15" s="8">
        <f t="shared" si="6"/>
        <v>22660.077374999986</v>
      </c>
      <c r="L15" s="8">
        <f t="shared" si="2"/>
        <v>929644.1999999995</v>
      </c>
      <c r="N15" s="2">
        <v>2029</v>
      </c>
      <c r="O15" s="8">
        <f t="shared" si="7"/>
        <v>4500237.949999997</v>
      </c>
      <c r="P15" s="8">
        <v>346172.15</v>
      </c>
      <c r="Q15" s="8">
        <f t="shared" si="8"/>
        <v>90004.75899999995</v>
      </c>
      <c r="R15" s="8">
        <f t="shared" si="3"/>
        <v>4154065.7999999975</v>
      </c>
      <c r="T15" s="2">
        <v>2029</v>
      </c>
      <c r="U15" s="8">
        <f t="shared" si="10"/>
        <v>3000000</v>
      </c>
      <c r="V15" s="8">
        <v>200000</v>
      </c>
      <c r="W15" s="8">
        <f t="shared" si="12"/>
        <v>60000</v>
      </c>
      <c r="X15" s="8"/>
      <c r="Y15" s="17">
        <v>20000</v>
      </c>
      <c r="Z15" s="8">
        <f t="shared" si="9"/>
        <v>2800000</v>
      </c>
      <c r="AB15" s="2">
        <v>2031</v>
      </c>
      <c r="AC15" s="8">
        <f t="shared" si="13"/>
        <v>11333333.333333336</v>
      </c>
      <c r="AD15" s="8">
        <v>666666.6666666666</v>
      </c>
      <c r="AE15" s="8">
        <f t="shared" si="14"/>
        <v>510000.0000000001</v>
      </c>
      <c r="AF15" s="8"/>
      <c r="AG15" s="17">
        <v>35000</v>
      </c>
      <c r="AH15" s="8">
        <f t="shared" si="11"/>
        <v>10666666.66666667</v>
      </c>
    </row>
    <row r="16" spans="1:34" ht="15.75">
      <c r="A16" s="2">
        <v>2030</v>
      </c>
      <c r="B16" s="7">
        <f t="shared" si="1"/>
        <v>187000</v>
      </c>
      <c r="C16" s="7">
        <v>17000</v>
      </c>
      <c r="D16" s="7"/>
      <c r="E16" s="7">
        <f t="shared" si="5"/>
        <v>3740</v>
      </c>
      <c r="F16" s="7">
        <f t="shared" si="0"/>
        <v>170000</v>
      </c>
      <c r="H16" s="2">
        <v>2030</v>
      </c>
      <c r="I16" s="8">
        <f t="shared" si="4"/>
        <v>929644.1999999995</v>
      </c>
      <c r="J16" s="8">
        <v>77470.35</v>
      </c>
      <c r="K16" s="8">
        <f t="shared" si="6"/>
        <v>20916.994499999986</v>
      </c>
      <c r="L16" s="8">
        <f t="shared" si="2"/>
        <v>852173.8499999995</v>
      </c>
      <c r="N16" s="2">
        <v>2030</v>
      </c>
      <c r="O16" s="8">
        <f t="shared" si="7"/>
        <v>4154065.7999999975</v>
      </c>
      <c r="P16" s="8">
        <v>346172.15</v>
      </c>
      <c r="Q16" s="8">
        <f t="shared" si="8"/>
        <v>83081.31599999995</v>
      </c>
      <c r="R16" s="8">
        <f t="shared" si="3"/>
        <v>3807893.6499999976</v>
      </c>
      <c r="T16" s="2">
        <v>2030</v>
      </c>
      <c r="U16" s="8">
        <f t="shared" si="10"/>
        <v>2800000</v>
      </c>
      <c r="V16" s="8">
        <v>200000</v>
      </c>
      <c r="W16" s="8">
        <f t="shared" si="12"/>
        <v>56000</v>
      </c>
      <c r="X16" s="8"/>
      <c r="Y16" s="17">
        <v>20000</v>
      </c>
      <c r="Z16" s="8">
        <f t="shared" si="9"/>
        <v>2600000</v>
      </c>
      <c r="AB16" s="2">
        <v>2032</v>
      </c>
      <c r="AC16" s="8">
        <f t="shared" si="13"/>
        <v>10666666.66666667</v>
      </c>
      <c r="AD16" s="8">
        <v>666666.6666666666</v>
      </c>
      <c r="AE16" s="8">
        <f t="shared" si="14"/>
        <v>480000.0000000001</v>
      </c>
      <c r="AF16" s="8"/>
      <c r="AG16" s="17">
        <v>35000</v>
      </c>
      <c r="AH16" s="8">
        <f t="shared" si="11"/>
        <v>10000000.000000004</v>
      </c>
    </row>
    <row r="17" spans="1:34" ht="15.75">
      <c r="A17" s="2">
        <v>2031</v>
      </c>
      <c r="B17" s="7">
        <f t="shared" si="1"/>
        <v>170000</v>
      </c>
      <c r="C17" s="7">
        <v>17000</v>
      </c>
      <c r="D17" s="7"/>
      <c r="E17" s="7">
        <f t="shared" si="5"/>
        <v>3400</v>
      </c>
      <c r="F17" s="7">
        <f t="shared" si="0"/>
        <v>153000</v>
      </c>
      <c r="H17" s="2">
        <v>2031</v>
      </c>
      <c r="I17" s="8">
        <f t="shared" si="4"/>
        <v>852173.8499999995</v>
      </c>
      <c r="J17" s="8">
        <v>77470.35</v>
      </c>
      <c r="K17" s="8">
        <f t="shared" si="6"/>
        <v>19173.91162499999</v>
      </c>
      <c r="L17" s="8">
        <f t="shared" si="2"/>
        <v>774703.4999999995</v>
      </c>
      <c r="N17" s="2">
        <v>2031</v>
      </c>
      <c r="O17" s="8">
        <f t="shared" si="7"/>
        <v>3807893.6499999976</v>
      </c>
      <c r="P17" s="8">
        <v>346172.15</v>
      </c>
      <c r="Q17" s="8">
        <f t="shared" si="8"/>
        <v>76157.87299999995</v>
      </c>
      <c r="R17" s="8">
        <f t="shared" si="3"/>
        <v>3461721.4999999977</v>
      </c>
      <c r="T17" s="2">
        <v>2031</v>
      </c>
      <c r="U17" s="8">
        <f t="shared" si="10"/>
        <v>2600000</v>
      </c>
      <c r="V17" s="8">
        <v>200000</v>
      </c>
      <c r="W17" s="8">
        <f t="shared" si="12"/>
        <v>52000</v>
      </c>
      <c r="X17" s="8"/>
      <c r="Y17" s="17">
        <v>20000</v>
      </c>
      <c r="Z17" s="8">
        <f t="shared" si="9"/>
        <v>2400000</v>
      </c>
      <c r="AB17" s="2">
        <v>2033</v>
      </c>
      <c r="AC17" s="8">
        <f t="shared" si="13"/>
        <v>10000000.000000004</v>
      </c>
      <c r="AD17" s="8">
        <v>666666.6666666666</v>
      </c>
      <c r="AE17" s="8">
        <f t="shared" si="14"/>
        <v>450000.0000000002</v>
      </c>
      <c r="AF17" s="8"/>
      <c r="AG17" s="17">
        <v>35000</v>
      </c>
      <c r="AH17" s="8">
        <f t="shared" si="11"/>
        <v>9333333.333333338</v>
      </c>
    </row>
    <row r="18" spans="1:34" ht="15.75">
      <c r="A18" s="2">
        <v>2032</v>
      </c>
      <c r="B18" s="7">
        <f t="shared" si="1"/>
        <v>153000</v>
      </c>
      <c r="C18" s="7">
        <v>17000</v>
      </c>
      <c r="D18" s="7"/>
      <c r="E18" s="7">
        <f t="shared" si="5"/>
        <v>3060</v>
      </c>
      <c r="F18" s="7">
        <f t="shared" si="0"/>
        <v>136000</v>
      </c>
      <c r="H18" s="2">
        <v>2032</v>
      </c>
      <c r="I18" s="8">
        <f t="shared" si="4"/>
        <v>774703.4999999995</v>
      </c>
      <c r="J18" s="8">
        <v>77470.35</v>
      </c>
      <c r="K18" s="8">
        <f t="shared" si="6"/>
        <v>17430.82874999999</v>
      </c>
      <c r="L18" s="8">
        <f t="shared" si="2"/>
        <v>697233.1499999996</v>
      </c>
      <c r="N18" s="2">
        <v>2032</v>
      </c>
      <c r="O18" s="8">
        <f t="shared" si="7"/>
        <v>3461721.4999999977</v>
      </c>
      <c r="P18" s="8">
        <v>346172.15</v>
      </c>
      <c r="Q18" s="8">
        <f t="shared" si="8"/>
        <v>69234.42999999995</v>
      </c>
      <c r="R18" s="8">
        <f t="shared" si="3"/>
        <v>3115549.3499999978</v>
      </c>
      <c r="T18" s="2">
        <v>2032</v>
      </c>
      <c r="U18" s="8">
        <f t="shared" si="10"/>
        <v>2400000</v>
      </c>
      <c r="V18" s="8">
        <v>200000</v>
      </c>
      <c r="W18" s="8">
        <f t="shared" si="12"/>
        <v>48000</v>
      </c>
      <c r="X18" s="8"/>
      <c r="Y18" s="17">
        <v>20000</v>
      </c>
      <c r="Z18" s="8">
        <f t="shared" si="9"/>
        <v>2200000</v>
      </c>
      <c r="AB18" s="2">
        <v>2034</v>
      </c>
      <c r="AC18" s="8">
        <f t="shared" si="13"/>
        <v>9333333.333333338</v>
      </c>
      <c r="AD18" s="8">
        <v>666666.6666666666</v>
      </c>
      <c r="AE18" s="8">
        <f t="shared" si="14"/>
        <v>420000.0000000002</v>
      </c>
      <c r="AF18" s="8"/>
      <c r="AG18" s="17">
        <v>35000</v>
      </c>
      <c r="AH18" s="8">
        <f t="shared" si="11"/>
        <v>8666666.666666672</v>
      </c>
    </row>
    <row r="19" spans="1:34" ht="15.75">
      <c r="A19" s="2">
        <v>2033</v>
      </c>
      <c r="B19" s="7">
        <f t="shared" si="1"/>
        <v>136000</v>
      </c>
      <c r="C19" s="7">
        <v>17000</v>
      </c>
      <c r="D19" s="7"/>
      <c r="E19" s="7">
        <f t="shared" si="5"/>
        <v>2720</v>
      </c>
      <c r="F19" s="7">
        <f t="shared" si="0"/>
        <v>119000</v>
      </c>
      <c r="H19" s="2">
        <v>2033</v>
      </c>
      <c r="I19" s="8">
        <f t="shared" si="4"/>
        <v>697233.1499999996</v>
      </c>
      <c r="J19" s="8">
        <v>77470.35</v>
      </c>
      <c r="K19" s="8">
        <f t="shared" si="6"/>
        <v>15687.74587499999</v>
      </c>
      <c r="L19" s="8">
        <f t="shared" si="2"/>
        <v>619762.7999999996</v>
      </c>
      <c r="N19" s="2">
        <v>2033</v>
      </c>
      <c r="O19" s="8">
        <f t="shared" si="7"/>
        <v>3115549.3499999978</v>
      </c>
      <c r="P19" s="8">
        <v>346172.15</v>
      </c>
      <c r="Q19" s="8">
        <f t="shared" si="8"/>
        <v>62310.98699999996</v>
      </c>
      <c r="R19" s="8">
        <f t="shared" si="3"/>
        <v>2769377.199999998</v>
      </c>
      <c r="T19" s="2">
        <v>2033</v>
      </c>
      <c r="U19" s="8">
        <f t="shared" si="10"/>
        <v>2200000</v>
      </c>
      <c r="V19" s="8">
        <v>200000</v>
      </c>
      <c r="W19" s="8">
        <f t="shared" si="12"/>
        <v>44000</v>
      </c>
      <c r="X19" s="8"/>
      <c r="Y19" s="17">
        <v>20000</v>
      </c>
      <c r="Z19" s="8">
        <f t="shared" si="9"/>
        <v>2000000</v>
      </c>
      <c r="AB19" s="2">
        <v>2035</v>
      </c>
      <c r="AC19" s="8">
        <f t="shared" si="13"/>
        <v>8666666.666666672</v>
      </c>
      <c r="AD19" s="8">
        <v>666666.6666666666</v>
      </c>
      <c r="AE19" s="8">
        <f t="shared" si="14"/>
        <v>390000.00000000023</v>
      </c>
      <c r="AF19" s="8"/>
      <c r="AG19" s="17">
        <v>35000</v>
      </c>
      <c r="AH19" s="8">
        <f t="shared" si="11"/>
        <v>8000000.000000005</v>
      </c>
    </row>
    <row r="20" spans="1:34" ht="15.75">
      <c r="A20" s="2">
        <v>2034</v>
      </c>
      <c r="B20" s="7">
        <f t="shared" si="1"/>
        <v>119000</v>
      </c>
      <c r="C20" s="7">
        <v>17000</v>
      </c>
      <c r="D20" s="7"/>
      <c r="E20" s="7">
        <f t="shared" si="5"/>
        <v>2380</v>
      </c>
      <c r="F20" s="7">
        <f t="shared" si="0"/>
        <v>102000</v>
      </c>
      <c r="H20" s="2">
        <v>2034</v>
      </c>
      <c r="I20" s="8">
        <f t="shared" si="4"/>
        <v>619762.7999999996</v>
      </c>
      <c r="J20" s="8">
        <v>77470.35</v>
      </c>
      <c r="K20" s="8">
        <f t="shared" si="6"/>
        <v>13944.66299999999</v>
      </c>
      <c r="L20" s="8">
        <f t="shared" si="2"/>
        <v>542292.4499999996</v>
      </c>
      <c r="N20" s="2">
        <v>2034</v>
      </c>
      <c r="O20" s="8">
        <f t="shared" si="7"/>
        <v>2769377.199999998</v>
      </c>
      <c r="P20" s="8">
        <v>346172.15</v>
      </c>
      <c r="Q20" s="8">
        <f t="shared" si="8"/>
        <v>55387.54399999996</v>
      </c>
      <c r="R20" s="8">
        <f t="shared" si="3"/>
        <v>2423205.049999998</v>
      </c>
      <c r="T20" s="2">
        <v>2034</v>
      </c>
      <c r="U20" s="8">
        <f t="shared" si="10"/>
        <v>2000000</v>
      </c>
      <c r="V20" s="8">
        <v>200000</v>
      </c>
      <c r="W20" s="8">
        <f t="shared" si="12"/>
        <v>40000</v>
      </c>
      <c r="X20" s="8"/>
      <c r="Y20" s="17">
        <v>20000</v>
      </c>
      <c r="Z20" s="8">
        <f t="shared" si="9"/>
        <v>1800000</v>
      </c>
      <c r="AB20" s="2">
        <v>2036</v>
      </c>
      <c r="AC20" s="8">
        <f t="shared" si="13"/>
        <v>8000000.000000005</v>
      </c>
      <c r="AD20" s="8">
        <v>666666.6666666666</v>
      </c>
      <c r="AE20" s="8">
        <f t="shared" si="14"/>
        <v>360000.0000000002</v>
      </c>
      <c r="AF20" s="8"/>
      <c r="AG20" s="17">
        <v>35000</v>
      </c>
      <c r="AH20" s="8">
        <f t="shared" si="11"/>
        <v>7333333.333333338</v>
      </c>
    </row>
    <row r="21" spans="1:34" ht="15.75">
      <c r="A21" s="2">
        <v>2035</v>
      </c>
      <c r="B21" s="7">
        <f t="shared" si="1"/>
        <v>102000</v>
      </c>
      <c r="C21" s="7">
        <v>17000</v>
      </c>
      <c r="D21" s="7"/>
      <c r="E21" s="7">
        <f t="shared" si="5"/>
        <v>2040</v>
      </c>
      <c r="F21" s="7">
        <f t="shared" si="0"/>
        <v>85000</v>
      </c>
      <c r="H21" s="2">
        <v>2035</v>
      </c>
      <c r="I21" s="8">
        <f t="shared" si="4"/>
        <v>542292.4499999996</v>
      </c>
      <c r="J21" s="8">
        <v>77470.35</v>
      </c>
      <c r="K21" s="8">
        <f t="shared" si="6"/>
        <v>12201.580124999991</v>
      </c>
      <c r="L21" s="8">
        <f t="shared" si="2"/>
        <v>464822.0999999996</v>
      </c>
      <c r="N21" s="2">
        <v>2035</v>
      </c>
      <c r="O21" s="8">
        <f t="shared" si="7"/>
        <v>2423205.049999998</v>
      </c>
      <c r="P21" s="8">
        <v>346172.15</v>
      </c>
      <c r="Q21" s="8">
        <f t="shared" si="8"/>
        <v>48464.10099999996</v>
      </c>
      <c r="R21" s="8">
        <f t="shared" si="3"/>
        <v>2077032.899999998</v>
      </c>
      <c r="T21" s="2">
        <v>2035</v>
      </c>
      <c r="U21" s="8">
        <f t="shared" si="10"/>
        <v>1800000</v>
      </c>
      <c r="V21" s="8">
        <v>200000</v>
      </c>
      <c r="W21" s="8">
        <f t="shared" si="12"/>
        <v>36000</v>
      </c>
      <c r="X21" s="8"/>
      <c r="Y21" s="17">
        <v>20000</v>
      </c>
      <c r="Z21" s="8">
        <f t="shared" si="9"/>
        <v>1600000</v>
      </c>
      <c r="AB21" s="2">
        <v>2037</v>
      </c>
      <c r="AC21" s="8">
        <f t="shared" si="13"/>
        <v>7333333.333333338</v>
      </c>
      <c r="AD21" s="8">
        <v>666666.6666666666</v>
      </c>
      <c r="AE21" s="8">
        <f t="shared" si="14"/>
        <v>330000.0000000002</v>
      </c>
      <c r="AF21" s="8"/>
      <c r="AG21" s="17">
        <v>35000</v>
      </c>
      <c r="AH21" s="8">
        <f t="shared" si="11"/>
        <v>6666666.666666671</v>
      </c>
    </row>
    <row r="22" spans="1:34" ht="15.75">
      <c r="A22" s="2">
        <v>2036</v>
      </c>
      <c r="B22" s="7">
        <f t="shared" si="1"/>
        <v>85000</v>
      </c>
      <c r="C22" s="7">
        <v>17000</v>
      </c>
      <c r="D22" s="7"/>
      <c r="E22" s="7">
        <f t="shared" si="5"/>
        <v>1700</v>
      </c>
      <c r="F22" s="7">
        <f t="shared" si="0"/>
        <v>68000</v>
      </c>
      <c r="H22" s="2">
        <v>2036</v>
      </c>
      <c r="I22" s="8">
        <f t="shared" si="4"/>
        <v>464822.0999999996</v>
      </c>
      <c r="J22" s="8">
        <v>77470.35</v>
      </c>
      <c r="K22" s="8">
        <f t="shared" si="6"/>
        <v>10458.497249999991</v>
      </c>
      <c r="L22" s="8">
        <f t="shared" si="2"/>
        <v>387351.74999999965</v>
      </c>
      <c r="N22" s="2">
        <v>2036</v>
      </c>
      <c r="O22" s="8">
        <f t="shared" si="7"/>
        <v>2077032.899999998</v>
      </c>
      <c r="P22" s="8">
        <v>346172.15</v>
      </c>
      <c r="Q22" s="8">
        <f t="shared" si="8"/>
        <v>41540.65799999996</v>
      </c>
      <c r="R22" s="8">
        <f t="shared" si="3"/>
        <v>1730860.7499999981</v>
      </c>
      <c r="T22" s="2">
        <v>2036</v>
      </c>
      <c r="U22" s="8">
        <f t="shared" si="10"/>
        <v>1600000</v>
      </c>
      <c r="V22" s="8">
        <v>200000</v>
      </c>
      <c r="W22" s="8">
        <f t="shared" si="12"/>
        <v>32000</v>
      </c>
      <c r="X22" s="8"/>
      <c r="Y22" s="17">
        <v>20000</v>
      </c>
      <c r="Z22" s="8">
        <f t="shared" si="9"/>
        <v>1400000</v>
      </c>
      <c r="AB22" s="2">
        <v>2038</v>
      </c>
      <c r="AC22" s="8">
        <f t="shared" si="13"/>
        <v>6666666.666666671</v>
      </c>
      <c r="AD22" s="8">
        <v>666666.6666666666</v>
      </c>
      <c r="AE22" s="8">
        <f t="shared" si="14"/>
        <v>300000.0000000002</v>
      </c>
      <c r="AF22" s="8"/>
      <c r="AG22" s="17">
        <v>35000</v>
      </c>
      <c r="AH22" s="8">
        <f t="shared" si="11"/>
        <v>6000000.000000004</v>
      </c>
    </row>
    <row r="23" spans="1:34" ht="15.75">
      <c r="A23" s="2">
        <v>2037</v>
      </c>
      <c r="B23" s="7">
        <f t="shared" si="1"/>
        <v>68000</v>
      </c>
      <c r="C23" s="7">
        <v>17000</v>
      </c>
      <c r="D23" s="7"/>
      <c r="E23" s="7">
        <f t="shared" si="5"/>
        <v>1360</v>
      </c>
      <c r="F23" s="7">
        <f t="shared" si="0"/>
        <v>51000</v>
      </c>
      <c r="H23" s="2">
        <v>2037</v>
      </c>
      <c r="I23" s="8">
        <f t="shared" si="4"/>
        <v>387351.74999999965</v>
      </c>
      <c r="J23" s="8">
        <v>77470.35</v>
      </c>
      <c r="K23" s="8">
        <f t="shared" si="6"/>
        <v>8715.414374999991</v>
      </c>
      <c r="L23" s="8">
        <f t="shared" si="2"/>
        <v>309881.3999999997</v>
      </c>
      <c r="N23" s="2">
        <v>2037</v>
      </c>
      <c r="O23" s="8">
        <f t="shared" si="7"/>
        <v>1730860.7499999981</v>
      </c>
      <c r="P23" s="8">
        <v>346172.15</v>
      </c>
      <c r="Q23" s="8">
        <f t="shared" si="8"/>
        <v>34617.21499999996</v>
      </c>
      <c r="R23" s="8">
        <f t="shared" si="3"/>
        <v>1384688.5999999982</v>
      </c>
      <c r="T23" s="2">
        <v>2037</v>
      </c>
      <c r="U23" s="8">
        <f t="shared" si="10"/>
        <v>1400000</v>
      </c>
      <c r="V23" s="8">
        <v>200000</v>
      </c>
      <c r="W23" s="8">
        <f t="shared" si="12"/>
        <v>28000</v>
      </c>
      <c r="X23" s="8"/>
      <c r="Y23" s="17">
        <v>20000</v>
      </c>
      <c r="Z23" s="8">
        <f t="shared" si="9"/>
        <v>1200000</v>
      </c>
      <c r="AB23" s="2">
        <v>2039</v>
      </c>
      <c r="AC23" s="8">
        <f t="shared" si="13"/>
        <v>6000000.000000004</v>
      </c>
      <c r="AD23" s="8">
        <v>666666.6666666666</v>
      </c>
      <c r="AE23" s="8">
        <f t="shared" si="14"/>
        <v>270000.0000000002</v>
      </c>
      <c r="AF23" s="8"/>
      <c r="AG23" s="17">
        <v>35000</v>
      </c>
      <c r="AH23" s="8">
        <f t="shared" si="11"/>
        <v>5333333.333333337</v>
      </c>
    </row>
    <row r="24" spans="1:34" ht="15.75">
      <c r="A24" s="2">
        <v>2038</v>
      </c>
      <c r="B24" s="7">
        <f t="shared" si="1"/>
        <v>51000</v>
      </c>
      <c r="C24" s="7">
        <v>17000</v>
      </c>
      <c r="D24" s="7"/>
      <c r="E24" s="7">
        <f t="shared" si="5"/>
        <v>1020</v>
      </c>
      <c r="F24" s="7">
        <f t="shared" si="0"/>
        <v>34000</v>
      </c>
      <c r="H24" s="2">
        <v>2038</v>
      </c>
      <c r="I24" s="8">
        <f t="shared" si="4"/>
        <v>309881.3999999997</v>
      </c>
      <c r="J24" s="8">
        <v>77470.35</v>
      </c>
      <c r="K24" s="8">
        <f t="shared" si="6"/>
        <v>6972.331499999992</v>
      </c>
      <c r="L24" s="8">
        <f t="shared" si="2"/>
        <v>232411.04999999967</v>
      </c>
      <c r="N24" s="2">
        <v>2038</v>
      </c>
      <c r="O24" s="8">
        <f t="shared" si="7"/>
        <v>1384688.5999999982</v>
      </c>
      <c r="P24" s="8">
        <v>346172.15</v>
      </c>
      <c r="Q24" s="8">
        <f t="shared" si="8"/>
        <v>27693.771999999964</v>
      </c>
      <c r="R24" s="8">
        <f t="shared" si="3"/>
        <v>1038516.4499999982</v>
      </c>
      <c r="T24" s="2">
        <v>2038</v>
      </c>
      <c r="U24" s="8">
        <f t="shared" si="10"/>
        <v>1200000</v>
      </c>
      <c r="V24" s="8">
        <v>200000</v>
      </c>
      <c r="W24" s="8">
        <f t="shared" si="12"/>
        <v>24000</v>
      </c>
      <c r="X24" s="8"/>
      <c r="Y24" s="17">
        <v>20000</v>
      </c>
      <c r="Z24" s="8">
        <f t="shared" si="9"/>
        <v>1000000</v>
      </c>
      <c r="AB24" s="2">
        <v>2040</v>
      </c>
      <c r="AC24" s="8">
        <f t="shared" si="13"/>
        <v>5333333.333333337</v>
      </c>
      <c r="AD24" s="8">
        <v>666666.6666666666</v>
      </c>
      <c r="AE24" s="8">
        <f t="shared" si="14"/>
        <v>240000.00000000015</v>
      </c>
      <c r="AF24" s="8"/>
      <c r="AG24" s="17">
        <v>35000</v>
      </c>
      <c r="AH24" s="8">
        <f t="shared" si="11"/>
        <v>4666666.66666667</v>
      </c>
    </row>
    <row r="25" spans="1:34" ht="15.75">
      <c r="A25" s="2">
        <v>2039</v>
      </c>
      <c r="B25" s="7">
        <f t="shared" si="1"/>
        <v>34000</v>
      </c>
      <c r="C25" s="7">
        <v>17000</v>
      </c>
      <c r="D25" s="7"/>
      <c r="E25" s="7">
        <f t="shared" si="5"/>
        <v>680</v>
      </c>
      <c r="F25" s="7">
        <f t="shared" si="0"/>
        <v>17000</v>
      </c>
      <c r="H25" s="2">
        <v>2039</v>
      </c>
      <c r="I25" s="8">
        <f t="shared" si="4"/>
        <v>232411.04999999967</v>
      </c>
      <c r="J25" s="8">
        <v>77470.35</v>
      </c>
      <c r="K25" s="8">
        <f t="shared" si="6"/>
        <v>5229.248624999992</v>
      </c>
      <c r="L25" s="8">
        <f t="shared" si="2"/>
        <v>154940.69999999966</v>
      </c>
      <c r="N25" s="2">
        <v>2039</v>
      </c>
      <c r="O25" s="8">
        <f t="shared" si="7"/>
        <v>1038516.4499999982</v>
      </c>
      <c r="P25" s="8">
        <v>346172.15</v>
      </c>
      <c r="Q25" s="8">
        <f t="shared" si="8"/>
        <v>20770.328999999965</v>
      </c>
      <c r="R25" s="8">
        <f t="shared" si="3"/>
        <v>692344.2999999982</v>
      </c>
      <c r="T25" s="2">
        <v>2039</v>
      </c>
      <c r="U25" s="8">
        <f t="shared" si="10"/>
        <v>1000000</v>
      </c>
      <c r="V25" s="8">
        <v>200000</v>
      </c>
      <c r="W25" s="8">
        <f t="shared" si="12"/>
        <v>20000</v>
      </c>
      <c r="X25" s="8"/>
      <c r="Y25" s="17">
        <v>20000</v>
      </c>
      <c r="Z25" s="8">
        <f t="shared" si="9"/>
        <v>800000</v>
      </c>
      <c r="AB25" s="2">
        <v>2041</v>
      </c>
      <c r="AC25" s="8">
        <f t="shared" si="13"/>
        <v>4666666.66666667</v>
      </c>
      <c r="AD25" s="8">
        <v>666666.6666666666</v>
      </c>
      <c r="AE25" s="8">
        <f t="shared" si="14"/>
        <v>210000.00000000015</v>
      </c>
      <c r="AF25" s="8"/>
      <c r="AG25" s="17">
        <v>35000</v>
      </c>
      <c r="AH25" s="8">
        <f t="shared" si="11"/>
        <v>4000000.0000000033</v>
      </c>
    </row>
    <row r="26" spans="1:34" ht="15.75">
      <c r="A26" s="2">
        <v>2040</v>
      </c>
      <c r="B26" s="7">
        <f t="shared" si="1"/>
        <v>17000</v>
      </c>
      <c r="C26" s="7">
        <v>17000</v>
      </c>
      <c r="D26" s="7"/>
      <c r="E26" s="7">
        <f t="shared" si="5"/>
        <v>340</v>
      </c>
      <c r="F26" s="7">
        <f t="shared" si="0"/>
        <v>0</v>
      </c>
      <c r="H26" s="2">
        <v>2040</v>
      </c>
      <c r="I26" s="8">
        <f t="shared" si="4"/>
        <v>154940.69999999966</v>
      </c>
      <c r="J26" s="8">
        <v>77470.35</v>
      </c>
      <c r="K26" s="8">
        <f t="shared" si="6"/>
        <v>3486.1657499999924</v>
      </c>
      <c r="L26" s="8">
        <f t="shared" si="2"/>
        <v>77470.34999999966</v>
      </c>
      <c r="N26" s="2">
        <v>2040</v>
      </c>
      <c r="O26" s="8">
        <f t="shared" si="7"/>
        <v>692344.2999999982</v>
      </c>
      <c r="P26" s="8">
        <v>346172.15</v>
      </c>
      <c r="Q26" s="8">
        <f t="shared" si="8"/>
        <v>13846.885999999964</v>
      </c>
      <c r="R26" s="8">
        <f t="shared" si="3"/>
        <v>346172.14999999816</v>
      </c>
      <c r="T26" s="2">
        <v>2040</v>
      </c>
      <c r="U26" s="8">
        <f t="shared" si="10"/>
        <v>800000</v>
      </c>
      <c r="V26" s="8">
        <v>200000</v>
      </c>
      <c r="W26" s="8">
        <f t="shared" si="12"/>
        <v>16000</v>
      </c>
      <c r="X26" s="8"/>
      <c r="Y26" s="17">
        <v>20000</v>
      </c>
      <c r="Z26" s="8">
        <f t="shared" si="9"/>
        <v>600000</v>
      </c>
      <c r="AB26" s="2">
        <v>2042</v>
      </c>
      <c r="AC26" s="8">
        <f t="shared" si="13"/>
        <v>4000000.0000000033</v>
      </c>
      <c r="AD26" s="8">
        <v>666666.6666666666</v>
      </c>
      <c r="AE26" s="8">
        <f t="shared" si="14"/>
        <v>180000.00000000015</v>
      </c>
      <c r="AF26" s="8"/>
      <c r="AG26" s="17">
        <v>35000</v>
      </c>
      <c r="AH26" s="8">
        <f t="shared" si="11"/>
        <v>3333333.3333333367</v>
      </c>
    </row>
    <row r="27" spans="8:34" ht="15.75">
      <c r="H27" s="2">
        <v>2041</v>
      </c>
      <c r="I27" s="8">
        <f t="shared" si="4"/>
        <v>77470.34999999966</v>
      </c>
      <c r="J27" s="8">
        <v>77470.35</v>
      </c>
      <c r="K27" s="8">
        <f t="shared" si="6"/>
        <v>1743.082874999992</v>
      </c>
      <c r="L27" s="8">
        <f t="shared" si="2"/>
        <v>-3.4924596548080444E-10</v>
      </c>
      <c r="N27" s="2">
        <v>2041</v>
      </c>
      <c r="O27" s="8">
        <f t="shared" si="7"/>
        <v>346172.14999999816</v>
      </c>
      <c r="P27" s="8">
        <v>346172.15</v>
      </c>
      <c r="Q27" s="8">
        <f t="shared" si="8"/>
        <v>6923.442999999963</v>
      </c>
      <c r="R27" s="8">
        <f t="shared" si="3"/>
        <v>-1.862645149230957E-09</v>
      </c>
      <c r="T27" s="2">
        <v>2041</v>
      </c>
      <c r="U27" s="8">
        <f t="shared" si="10"/>
        <v>600000</v>
      </c>
      <c r="V27" s="8">
        <v>200000</v>
      </c>
      <c r="W27" s="8">
        <f t="shared" si="12"/>
        <v>12000</v>
      </c>
      <c r="X27" s="8"/>
      <c r="Y27" s="17">
        <v>20000</v>
      </c>
      <c r="Z27" s="8">
        <f t="shared" si="9"/>
        <v>400000</v>
      </c>
      <c r="AB27" s="2">
        <v>2043</v>
      </c>
      <c r="AC27" s="8">
        <f t="shared" si="13"/>
        <v>3333333.3333333367</v>
      </c>
      <c r="AD27" s="8">
        <v>666666.6666666666</v>
      </c>
      <c r="AE27" s="8">
        <f t="shared" si="14"/>
        <v>150000.00000000015</v>
      </c>
      <c r="AF27" s="8"/>
      <c r="AG27" s="17">
        <v>35000</v>
      </c>
      <c r="AH27" s="8">
        <f t="shared" si="11"/>
        <v>2666666.6666666702</v>
      </c>
    </row>
    <row r="28" spans="20:34" ht="15.75">
      <c r="T28" s="2">
        <v>2042</v>
      </c>
      <c r="U28" s="8">
        <f t="shared" si="10"/>
        <v>400000</v>
      </c>
      <c r="V28" s="8">
        <v>200000</v>
      </c>
      <c r="W28" s="8">
        <f t="shared" si="12"/>
        <v>8000</v>
      </c>
      <c r="X28" s="8"/>
      <c r="Y28" s="17">
        <v>20000</v>
      </c>
      <c r="Z28" s="8">
        <f t="shared" si="9"/>
        <v>200000</v>
      </c>
      <c r="AB28" s="2">
        <v>2044</v>
      </c>
      <c r="AC28" s="8">
        <f t="shared" si="13"/>
        <v>2666666.6666666702</v>
      </c>
      <c r="AD28" s="8">
        <v>666666.6666666666</v>
      </c>
      <c r="AE28" s="8">
        <f t="shared" si="14"/>
        <v>120000.00000000016</v>
      </c>
      <c r="AF28" s="8"/>
      <c r="AG28" s="17">
        <v>35000</v>
      </c>
      <c r="AH28" s="8">
        <f t="shared" si="11"/>
        <v>2000000.0000000037</v>
      </c>
    </row>
    <row r="29" spans="1:34" ht="15.75">
      <c r="A29" t="s">
        <v>182</v>
      </c>
      <c r="T29" s="2">
        <v>2043</v>
      </c>
      <c r="U29" s="8">
        <f t="shared" si="10"/>
        <v>200000</v>
      </c>
      <c r="V29" s="8">
        <v>200000</v>
      </c>
      <c r="W29" s="8">
        <f t="shared" si="12"/>
        <v>4000</v>
      </c>
      <c r="X29" s="8"/>
      <c r="Y29" s="17">
        <v>20000</v>
      </c>
      <c r="Z29" s="8">
        <f t="shared" si="9"/>
        <v>0</v>
      </c>
      <c r="AB29" s="2">
        <v>2045</v>
      </c>
      <c r="AC29" s="8">
        <f t="shared" si="13"/>
        <v>2000000.0000000037</v>
      </c>
      <c r="AD29" s="8">
        <v>666666.6666666666</v>
      </c>
      <c r="AE29" s="8">
        <f t="shared" si="14"/>
        <v>90000.00000000016</v>
      </c>
      <c r="AF29" s="8"/>
      <c r="AG29" s="17">
        <v>35000</v>
      </c>
      <c r="AH29" s="8">
        <f t="shared" si="11"/>
        <v>1333333.3333333372</v>
      </c>
    </row>
    <row r="30" spans="1:34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t="s">
        <v>183</v>
      </c>
      <c r="AB30" s="2">
        <v>2046</v>
      </c>
      <c r="AC30" s="8">
        <f t="shared" si="13"/>
        <v>1333333.3333333372</v>
      </c>
      <c r="AD30" s="8">
        <v>666666.6666666666</v>
      </c>
      <c r="AE30" s="8">
        <f t="shared" si="14"/>
        <v>60000.000000000175</v>
      </c>
      <c r="AF30" s="8"/>
      <c r="AG30" s="17">
        <v>35000</v>
      </c>
      <c r="AH30" s="8">
        <f t="shared" si="11"/>
        <v>666666.6666666706</v>
      </c>
    </row>
    <row r="31" spans="1:34" ht="15.75">
      <c r="A31" s="9"/>
      <c r="B31" s="10"/>
      <c r="C31" s="10"/>
      <c r="D31" s="10"/>
      <c r="E31" s="10"/>
      <c r="F31" s="10"/>
      <c r="G31" s="9"/>
      <c r="H31" s="9"/>
      <c r="I31" s="13"/>
      <c r="J31" s="13"/>
      <c r="K31" s="13"/>
      <c r="L31" s="13"/>
      <c r="N31" s="9"/>
      <c r="O31" s="13"/>
      <c r="P31" s="13"/>
      <c r="Q31" s="13"/>
      <c r="R31" s="13"/>
      <c r="T31" s="9"/>
      <c r="U31" s="13">
        <f>Z29</f>
        <v>0</v>
      </c>
      <c r="V31" s="13"/>
      <c r="W31" s="13"/>
      <c r="X31" s="13"/>
      <c r="Y31" s="13"/>
      <c r="Z31" s="13">
        <f>U31-V31</f>
        <v>0</v>
      </c>
      <c r="AB31" s="2">
        <v>2047</v>
      </c>
      <c r="AC31" s="8">
        <f t="shared" si="13"/>
        <v>666666.6666666706</v>
      </c>
      <c r="AD31" s="8">
        <v>666666.6666666666</v>
      </c>
      <c r="AE31" s="8">
        <f t="shared" si="14"/>
        <v>30000.000000000175</v>
      </c>
      <c r="AF31" s="8"/>
      <c r="AG31" s="17">
        <v>35000</v>
      </c>
      <c r="AH31" s="8">
        <f t="shared" si="11"/>
        <v>3.958120942115784E-09</v>
      </c>
    </row>
    <row r="32" spans="28:34" ht="15.75">
      <c r="AB32" s="2"/>
      <c r="AC32" s="8"/>
      <c r="AD32" s="2"/>
      <c r="AE32" s="2"/>
      <c r="AF32" s="2"/>
      <c r="AG32" s="2"/>
      <c r="AH32" s="2"/>
    </row>
  </sheetData>
  <sheetProtection/>
  <mergeCells count="6">
    <mergeCell ref="B4:F4"/>
    <mergeCell ref="I4:L4"/>
    <mergeCell ref="O4:R4"/>
    <mergeCell ref="U4:Z4"/>
    <mergeCell ref="AC4:AH4"/>
    <mergeCell ref="N4:N5"/>
  </mergeCells>
  <printOptions/>
  <pageMargins left="0.7" right="0.7" top="0.75" bottom="0.75" header="0.3" footer="0.3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2020-11-20T02:26:09Z</cp:lastPrinted>
  <dcterms:created xsi:type="dcterms:W3CDTF">2017-07-17T01:07:05Z</dcterms:created>
  <dcterms:modified xsi:type="dcterms:W3CDTF">2020-11-25T08:16:33Z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1033-11.2.0.9739</vt:lpwstr>
  </property>
</Properties>
</file>